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recycquebecgouvqcca.sharepoint.com/sites/COMMUNICATION/Documents partages/General/Émilie Girard/Site web/Modifications/2024/06 juin/MO/"/>
    </mc:Choice>
  </mc:AlternateContent>
  <xr:revisionPtr revIDLastSave="0" documentId="8_{ACC4A922-90BB-45EE-891A-ECC485A11D94}" xr6:coauthVersionLast="47" xr6:coauthVersionMax="47" xr10:uidLastSave="{00000000-0000-0000-0000-000000000000}"/>
  <workbookProtection workbookAlgorithmName="SHA-512" workbookHashValue="GqkNnr7SGwQ7FqEQ0tjet51Zeh/W3zw4P7U/dR+6AFBAc0dq/5F+94uQ7P5sgvRnZC8a7s+OZWUfCTsOXdyHZA==" workbookSaltValue="DWzjiVaPw5CgbRY2F/vyLA==" workbookSpinCount="100000" lockStructure="1"/>
  <bookViews>
    <workbookView xWindow="-120" yWindow="-120" windowWidth="29040" windowHeight="15840" xr2:uid="{00000000-000D-0000-FFFF-FFFF00000000}"/>
  </bookViews>
  <sheets>
    <sheet name="Informations sur les données" sheetId="2" r:id="rId1"/>
    <sheet name="Boues municipales_2023" sheetId="5" r:id="rId2"/>
    <sheet name="Boues municipales_2022" sheetId="4" r:id="rId3"/>
    <sheet name="Boues municipales_2021" sheetId="3" r:id="rId4"/>
    <sheet name="Boues municipales_2020" sheetId="1" r:id="rId5"/>
  </sheets>
  <definedNames>
    <definedName name="_xlnm._FilterDatabase" localSheetId="3" hidden="1">'Boues municipales_2021'!$A$2:$J$997</definedName>
    <definedName name="_xlnm._FilterDatabase" localSheetId="1" hidden="1">'Boues municipales_2023'!$A$2:$X$2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19" i="5" l="1"/>
  <c r="Q1019" i="5"/>
  <c r="P1019" i="5"/>
  <c r="K1019" i="5"/>
  <c r="J1019" i="5"/>
  <c r="I1019" i="5"/>
  <c r="H1019" i="5"/>
  <c r="G1019" i="5"/>
  <c r="F1019" i="5"/>
  <c r="D1019" i="5"/>
  <c r="C1019" i="5"/>
  <c r="B1019" i="5"/>
  <c r="A1019" i="5"/>
  <c r="O1016" i="5"/>
  <c r="O993" i="5"/>
  <c r="O991" i="5"/>
  <c r="N990" i="5"/>
  <c r="M990" i="5"/>
  <c r="N988" i="5"/>
  <c r="M988" i="5"/>
  <c r="N987" i="5"/>
  <c r="M987" i="5"/>
  <c r="N986" i="5"/>
  <c r="M986" i="5"/>
  <c r="N985" i="5"/>
  <c r="M985" i="5"/>
  <c r="N984" i="5"/>
  <c r="M984" i="5"/>
  <c r="N983" i="5"/>
  <c r="M983" i="5"/>
  <c r="N982" i="5"/>
  <c r="M982" i="5"/>
  <c r="N981" i="5"/>
  <c r="M981" i="5"/>
  <c r="N980" i="5"/>
  <c r="M980" i="5"/>
  <c r="N979" i="5"/>
  <c r="M979" i="5"/>
  <c r="O966" i="5"/>
  <c r="S928" i="5"/>
  <c r="O919" i="5"/>
  <c r="O916" i="5"/>
  <c r="P915" i="5"/>
  <c r="O915" i="5"/>
  <c r="P914" i="5"/>
  <c r="O914" i="5"/>
  <c r="P913" i="5"/>
  <c r="O913" i="5"/>
  <c r="P912" i="5"/>
  <c r="O912" i="5"/>
  <c r="P911" i="5"/>
  <c r="O911" i="5"/>
  <c r="P910" i="5"/>
  <c r="O910" i="5"/>
  <c r="P909" i="5"/>
  <c r="O909" i="5"/>
  <c r="P908" i="5"/>
  <c r="O908" i="5"/>
  <c r="P907" i="5"/>
  <c r="O907" i="5"/>
  <c r="P906" i="5"/>
  <c r="O906" i="5"/>
  <c r="P905" i="5"/>
  <c r="O905" i="5"/>
  <c r="P904" i="5"/>
  <c r="O904" i="5"/>
  <c r="O902" i="5"/>
  <c r="V898" i="5"/>
  <c r="V897" i="5"/>
  <c r="O859" i="5"/>
  <c r="O857" i="5"/>
  <c r="O848" i="5"/>
  <c r="S847" i="5"/>
  <c r="O847" i="5"/>
  <c r="O843" i="5"/>
  <c r="O841" i="5"/>
  <c r="O840" i="5"/>
  <c r="O837" i="5"/>
  <c r="O836" i="5"/>
  <c r="O835" i="5"/>
  <c r="O834" i="5"/>
  <c r="O832" i="5"/>
  <c r="O831" i="5"/>
  <c r="O830" i="5"/>
  <c r="M796" i="5"/>
  <c r="O774" i="5"/>
  <c r="O772" i="5"/>
  <c r="O771" i="5"/>
  <c r="O770" i="5"/>
  <c r="O769" i="5"/>
  <c r="O764" i="5"/>
  <c r="O763" i="5"/>
  <c r="O762" i="5"/>
  <c r="S761" i="5"/>
  <c r="S760" i="5"/>
  <c r="V758" i="5"/>
  <c r="O727" i="5"/>
  <c r="O670" i="5"/>
  <c r="V667" i="5"/>
  <c r="V652" i="5"/>
  <c r="V650" i="5"/>
  <c r="O648" i="5"/>
  <c r="V627" i="5"/>
  <c r="V626" i="5"/>
  <c r="V625" i="5"/>
  <c r="V624" i="5"/>
  <c r="V623" i="5"/>
  <c r="V622" i="5"/>
  <c r="V621" i="5"/>
  <c r="V620" i="5"/>
  <c r="V619" i="5"/>
  <c r="V618" i="5"/>
  <c r="V617" i="5"/>
  <c r="V616" i="5"/>
  <c r="R615" i="5"/>
  <c r="R614" i="5"/>
  <c r="R613" i="5"/>
  <c r="O613" i="5"/>
  <c r="R612" i="5"/>
  <c r="O612" i="5"/>
  <c r="R611" i="5"/>
  <c r="O611" i="5"/>
  <c r="R610" i="5"/>
  <c r="R609" i="5"/>
  <c r="R608" i="5"/>
  <c r="O608" i="5"/>
  <c r="O607" i="5"/>
  <c r="R606" i="5"/>
  <c r="R605" i="5"/>
  <c r="R604" i="5"/>
  <c r="R603" i="5"/>
  <c r="O603" i="5"/>
  <c r="R602" i="5"/>
  <c r="O602" i="5"/>
  <c r="R601" i="5"/>
  <c r="O601" i="5"/>
  <c r="R600" i="5"/>
  <c r="O600" i="5"/>
  <c r="R599" i="5"/>
  <c r="O599" i="5"/>
  <c r="R598" i="5"/>
  <c r="O598" i="5"/>
  <c r="R597" i="5"/>
  <c r="O597" i="5"/>
  <c r="R596" i="5"/>
  <c r="O596" i="5"/>
  <c r="R595" i="5"/>
  <c r="O595" i="5"/>
  <c r="R594" i="5"/>
  <c r="O594" i="5"/>
  <c r="N552" i="5"/>
  <c r="N551" i="5"/>
  <c r="N550" i="5"/>
  <c r="N549" i="5"/>
  <c r="N548" i="5"/>
  <c r="N547" i="5"/>
  <c r="N546" i="5"/>
  <c r="N545" i="5"/>
  <c r="T544" i="5"/>
  <c r="N544" i="5"/>
  <c r="T543" i="5"/>
  <c r="N543" i="5"/>
  <c r="T542" i="5"/>
  <c r="N542" i="5"/>
  <c r="T541" i="5"/>
  <c r="N541" i="5"/>
  <c r="N1019" i="5" s="1"/>
  <c r="O540" i="5"/>
  <c r="O523" i="5"/>
  <c r="O522" i="5"/>
  <c r="S520" i="5"/>
  <c r="S519" i="5"/>
  <c r="S518" i="5"/>
  <c r="S517" i="5"/>
  <c r="S516" i="5"/>
  <c r="T496" i="5"/>
  <c r="T495" i="5"/>
  <c r="T494" i="5"/>
  <c r="T493" i="5"/>
  <c r="T492" i="5"/>
  <c r="T491" i="5"/>
  <c r="T490" i="5"/>
  <c r="T489" i="5"/>
  <c r="T488" i="5"/>
  <c r="T487" i="5"/>
  <c r="T486" i="5"/>
  <c r="T485" i="5"/>
  <c r="R479" i="5"/>
  <c r="R1019" i="5" s="1"/>
  <c r="O466" i="5"/>
  <c r="O432" i="5"/>
  <c r="O431" i="5"/>
  <c r="O430" i="5"/>
  <c r="O387" i="5"/>
  <c r="V338" i="5"/>
  <c r="V336" i="5"/>
  <c r="O320" i="5"/>
  <c r="M320" i="5"/>
  <c r="O319" i="5"/>
  <c r="M319" i="5"/>
  <c r="O315" i="5"/>
  <c r="M315" i="5"/>
  <c r="O303" i="5"/>
  <c r="O238" i="5"/>
  <c r="O237" i="5"/>
  <c r="T210" i="5"/>
  <c r="S210" i="5"/>
  <c r="O210" i="5"/>
  <c r="T209" i="5"/>
  <c r="S209" i="5"/>
  <c r="O209" i="5"/>
  <c r="T208" i="5"/>
  <c r="S208" i="5"/>
  <c r="O208" i="5"/>
  <c r="T207" i="5"/>
  <c r="S207" i="5"/>
  <c r="O207" i="5"/>
  <c r="T206" i="5"/>
  <c r="O206" i="5"/>
  <c r="T205" i="5"/>
  <c r="S205" i="5"/>
  <c r="O205" i="5"/>
  <c r="T204" i="5"/>
  <c r="S204" i="5"/>
  <c r="O204" i="5"/>
  <c r="T203" i="5"/>
  <c r="S203" i="5"/>
  <c r="O203" i="5"/>
  <c r="T202" i="5"/>
  <c r="T201" i="5"/>
  <c r="S201" i="5"/>
  <c r="O201" i="5"/>
  <c r="T200" i="5"/>
  <c r="S200" i="5"/>
  <c r="O200" i="5"/>
  <c r="T199" i="5"/>
  <c r="T1019" i="5" s="1"/>
  <c r="S199" i="5"/>
  <c r="S1019" i="5" s="1"/>
  <c r="O199" i="5"/>
  <c r="O185" i="5"/>
  <c r="V182" i="5"/>
  <c r="V181" i="5"/>
  <c r="V180" i="5"/>
  <c r="V179" i="5"/>
  <c r="V178" i="5"/>
  <c r="O143" i="5"/>
  <c r="O142" i="5"/>
  <c r="O141" i="5"/>
  <c r="O140" i="5"/>
  <c r="O139" i="5"/>
  <c r="O138" i="5"/>
  <c r="O137" i="5"/>
  <c r="O136" i="5"/>
  <c r="O135" i="5"/>
  <c r="O134" i="5"/>
  <c r="O133" i="5"/>
  <c r="O132" i="5"/>
  <c r="P67" i="5"/>
  <c r="O67" i="5"/>
  <c r="P65" i="5"/>
  <c r="O65" i="5"/>
  <c r="P64" i="5"/>
  <c r="O64" i="5"/>
  <c r="P63" i="5"/>
  <c r="O63" i="5"/>
  <c r="P62" i="5"/>
  <c r="O62" i="5"/>
  <c r="P61" i="5"/>
  <c r="O61" i="5"/>
  <c r="P58" i="5"/>
  <c r="O58" i="5"/>
  <c r="V56" i="5"/>
  <c r="V1019" i="5" s="1"/>
  <c r="O41" i="5"/>
  <c r="O40" i="5"/>
  <c r="O14" i="5"/>
  <c r="M14" i="5"/>
  <c r="O13" i="5"/>
  <c r="M13" i="5"/>
  <c r="O12" i="5"/>
  <c r="M12" i="5"/>
  <c r="O11" i="5"/>
  <c r="M11" i="5"/>
  <c r="O10" i="5"/>
  <c r="M10" i="5"/>
  <c r="O9" i="5"/>
  <c r="M9" i="5"/>
  <c r="O8" i="5"/>
  <c r="M8" i="5"/>
  <c r="O7" i="5"/>
  <c r="M7" i="5"/>
  <c r="O6" i="5"/>
  <c r="M6" i="5"/>
  <c r="O5" i="5"/>
  <c r="M5" i="5"/>
  <c r="O4" i="5"/>
  <c r="M4" i="5"/>
  <c r="O3" i="5"/>
  <c r="O1019" i="5" s="1"/>
  <c r="M3" i="5"/>
  <c r="M1019" i="5" s="1"/>
  <c r="N1016" i="1"/>
  <c r="O903" i="4"/>
  <c r="O902" i="4"/>
  <c r="O901" i="4"/>
  <c r="O900" i="4"/>
  <c r="O899" i="4"/>
  <c r="W1019" i="5" l="1"/>
  <c r="M616" i="1"/>
  <c r="N616" i="1"/>
  <c r="M615" i="1"/>
  <c r="M614" i="1"/>
  <c r="N614" i="1"/>
  <c r="M613" i="1"/>
  <c r="N613" i="1"/>
  <c r="M612" i="1"/>
  <c r="N612" i="1"/>
  <c r="M611" i="1"/>
  <c r="N611" i="1"/>
  <c r="N610" i="1"/>
  <c r="N609" i="1"/>
  <c r="N608" i="1"/>
  <c r="M608" i="1"/>
  <c r="M607" i="1"/>
  <c r="M606" i="1"/>
  <c r="M605" i="1"/>
  <c r="M617" i="1"/>
  <c r="U342" i="1" l="1"/>
  <c r="V617" i="4" l="1"/>
  <c r="N43" i="1"/>
  <c r="M998" i="3"/>
  <c r="N998" i="3"/>
  <c r="P998" i="3"/>
  <c r="Q998" i="3"/>
  <c r="R998" i="3"/>
  <c r="U998" i="3"/>
  <c r="M1021" i="1"/>
  <c r="O1021" i="1"/>
  <c r="P1021" i="1"/>
  <c r="Q1021" i="1"/>
  <c r="S1021" i="1"/>
  <c r="T1021" i="1"/>
  <c r="U1021" i="1"/>
  <c r="U990" i="4"/>
  <c r="Q990" i="4"/>
  <c r="N990" i="4"/>
  <c r="O988" i="4"/>
  <c r="O962" i="4"/>
  <c r="N961" i="4"/>
  <c r="M961" i="4"/>
  <c r="N960" i="4"/>
  <c r="M960" i="4"/>
  <c r="N959" i="4"/>
  <c r="M959" i="4"/>
  <c r="N958" i="4"/>
  <c r="M958" i="4"/>
  <c r="N957" i="4"/>
  <c r="M957" i="4"/>
  <c r="N956" i="4"/>
  <c r="M956" i="4"/>
  <c r="N955" i="4"/>
  <c r="M955" i="4"/>
  <c r="N954" i="4"/>
  <c r="M954" i="4"/>
  <c r="N953" i="4"/>
  <c r="M953" i="4"/>
  <c r="N952" i="4"/>
  <c r="M952" i="4"/>
  <c r="N951" i="4"/>
  <c r="M951" i="4"/>
  <c r="N950" i="4"/>
  <c r="M950" i="4"/>
  <c r="P895" i="4"/>
  <c r="O895" i="4"/>
  <c r="P894" i="4"/>
  <c r="O894" i="4"/>
  <c r="P893" i="4"/>
  <c r="O893" i="4"/>
  <c r="P892" i="4"/>
  <c r="O892" i="4"/>
  <c r="P891" i="4"/>
  <c r="O891" i="4"/>
  <c r="P890" i="4"/>
  <c r="O890" i="4"/>
  <c r="P889" i="4"/>
  <c r="O889" i="4"/>
  <c r="P888" i="4"/>
  <c r="O888" i="4"/>
  <c r="P887" i="4"/>
  <c r="O887" i="4"/>
  <c r="P886" i="4"/>
  <c r="O886" i="4"/>
  <c r="P885" i="4"/>
  <c r="O885" i="4"/>
  <c r="P884" i="4"/>
  <c r="O884" i="4"/>
  <c r="O878" i="4"/>
  <c r="V877" i="4"/>
  <c r="V876" i="4"/>
  <c r="V821" i="4"/>
  <c r="O819" i="4"/>
  <c r="O818" i="4"/>
  <c r="O817" i="4"/>
  <c r="O816" i="4"/>
  <c r="O815" i="4"/>
  <c r="O814" i="4"/>
  <c r="O813" i="4"/>
  <c r="O812" i="4"/>
  <c r="O772" i="4"/>
  <c r="S729" i="4"/>
  <c r="O729" i="4"/>
  <c r="S725" i="4"/>
  <c r="S724" i="4"/>
  <c r="O723" i="4"/>
  <c r="O722" i="4"/>
  <c r="O705" i="4"/>
  <c r="V618" i="4"/>
  <c r="V616" i="4"/>
  <c r="V615" i="4"/>
  <c r="V614" i="4"/>
  <c r="V613" i="4"/>
  <c r="V612" i="4"/>
  <c r="O596" i="4"/>
  <c r="O595" i="4"/>
  <c r="M595" i="4"/>
  <c r="O594" i="4"/>
  <c r="M594" i="4"/>
  <c r="O593" i="4"/>
  <c r="M593" i="4"/>
  <c r="O592" i="4"/>
  <c r="M592" i="4"/>
  <c r="O591" i="4"/>
  <c r="M591" i="4"/>
  <c r="O590" i="4"/>
  <c r="M590" i="4"/>
  <c r="O589" i="4"/>
  <c r="M589" i="4"/>
  <c r="O588" i="4"/>
  <c r="M588" i="4"/>
  <c r="O587" i="4"/>
  <c r="M587" i="4"/>
  <c r="O586" i="4"/>
  <c r="M586" i="4"/>
  <c r="O585" i="4"/>
  <c r="M585" i="4"/>
  <c r="O584" i="4"/>
  <c r="M584" i="4"/>
  <c r="R583" i="4"/>
  <c r="R582" i="4"/>
  <c r="R581" i="4"/>
  <c r="R580" i="4"/>
  <c r="O580" i="4"/>
  <c r="O579" i="4"/>
  <c r="M579" i="4"/>
  <c r="O578" i="4"/>
  <c r="M578" i="4"/>
  <c r="R577" i="4"/>
  <c r="O577" i="4"/>
  <c r="R576" i="4"/>
  <c r="R575" i="4"/>
  <c r="R574" i="4"/>
  <c r="R573" i="4"/>
  <c r="R572" i="4"/>
  <c r="R571" i="4"/>
  <c r="O571" i="4"/>
  <c r="R570" i="4"/>
  <c r="O570" i="4"/>
  <c r="R569" i="4"/>
  <c r="O569" i="4"/>
  <c r="R568" i="4"/>
  <c r="O568" i="4"/>
  <c r="R567" i="4"/>
  <c r="O567" i="4"/>
  <c r="R566" i="4"/>
  <c r="O566" i="4"/>
  <c r="R565" i="4"/>
  <c r="O565" i="4"/>
  <c r="R564" i="4"/>
  <c r="O564" i="4"/>
  <c r="V558" i="4"/>
  <c r="P556" i="4"/>
  <c r="O553" i="4"/>
  <c r="O552" i="4"/>
  <c r="O537" i="4"/>
  <c r="O536" i="4"/>
  <c r="T523" i="4"/>
  <c r="T522" i="4"/>
  <c r="T521" i="4"/>
  <c r="T520" i="4"/>
  <c r="T519" i="4"/>
  <c r="T518" i="4"/>
  <c r="T517" i="4"/>
  <c r="T516" i="4"/>
  <c r="T515" i="4"/>
  <c r="T514" i="4"/>
  <c r="T513" i="4"/>
  <c r="T512" i="4"/>
  <c r="O511" i="4"/>
  <c r="V494" i="4"/>
  <c r="V990" i="4"/>
  <c r="V493" i="4"/>
  <c r="V492" i="4"/>
  <c r="V491" i="4"/>
  <c r="T472" i="4"/>
  <c r="T471" i="4"/>
  <c r="T470" i="4"/>
  <c r="T469" i="4"/>
  <c r="T468" i="4"/>
  <c r="T467" i="4"/>
  <c r="T466" i="4"/>
  <c r="T465" i="4"/>
  <c r="T464" i="4"/>
  <c r="T463" i="4"/>
  <c r="T462" i="4"/>
  <c r="T461" i="4"/>
  <c r="O458" i="4"/>
  <c r="O457" i="4"/>
  <c r="O443" i="4"/>
  <c r="O434" i="4"/>
  <c r="O413" i="4"/>
  <c r="O402" i="4"/>
  <c r="O383" i="4"/>
  <c r="O360" i="4"/>
  <c r="S342" i="4"/>
  <c r="S338" i="4"/>
  <c r="S337" i="4"/>
  <c r="S336" i="4"/>
  <c r="S335" i="4"/>
  <c r="S334" i="4"/>
  <c r="O304" i="4"/>
  <c r="O253" i="4"/>
  <c r="O252" i="4"/>
  <c r="O251" i="4"/>
  <c r="O250" i="4"/>
  <c r="O249" i="4"/>
  <c r="O248" i="4"/>
  <c r="O247" i="4"/>
  <c r="O246" i="4"/>
  <c r="O245" i="4"/>
  <c r="O244" i="4"/>
  <c r="O243" i="4"/>
  <c r="O242" i="4"/>
  <c r="S241" i="4"/>
  <c r="S240" i="4"/>
  <c r="S239" i="4"/>
  <c r="S238" i="4"/>
  <c r="S237" i="4"/>
  <c r="S236" i="4"/>
  <c r="S235" i="4"/>
  <c r="S234" i="4"/>
  <c r="S233" i="4"/>
  <c r="S232" i="4"/>
  <c r="S231" i="4"/>
  <c r="S230" i="4"/>
  <c r="T212" i="4"/>
  <c r="S212" i="4"/>
  <c r="O212" i="4"/>
  <c r="T211" i="4"/>
  <c r="O211" i="4"/>
  <c r="T210" i="4"/>
  <c r="O210" i="4"/>
  <c r="T209" i="4"/>
  <c r="O209" i="4"/>
  <c r="T208" i="4"/>
  <c r="O208" i="4"/>
  <c r="T207" i="4"/>
  <c r="O207" i="4"/>
  <c r="T206" i="4"/>
  <c r="S206" i="4"/>
  <c r="O206" i="4"/>
  <c r="T205" i="4"/>
  <c r="O205" i="4"/>
  <c r="T204" i="4"/>
  <c r="O204" i="4"/>
  <c r="T203" i="4"/>
  <c r="O203" i="4"/>
  <c r="T202" i="4"/>
  <c r="O202" i="4"/>
  <c r="T201" i="4"/>
  <c r="O201" i="4"/>
  <c r="S121" i="4"/>
  <c r="S120" i="4"/>
  <c r="R118" i="4"/>
  <c r="R117" i="4"/>
  <c r="R990" i="4"/>
  <c r="O90" i="4"/>
  <c r="P73" i="4"/>
  <c r="O73" i="4"/>
  <c r="P72" i="4"/>
  <c r="O72" i="4"/>
  <c r="P70" i="4"/>
  <c r="O70" i="4"/>
  <c r="P69" i="4"/>
  <c r="O69" i="4"/>
  <c r="P64" i="4"/>
  <c r="O64" i="4"/>
  <c r="P63" i="4"/>
  <c r="P990" i="4"/>
  <c r="O63" i="4"/>
  <c r="S61" i="4"/>
  <c r="O45" i="4"/>
  <c r="S44" i="4"/>
  <c r="O44" i="4"/>
  <c r="O43" i="4"/>
  <c r="O42" i="4"/>
  <c r="O41" i="4"/>
  <c r="O28" i="4"/>
  <c r="L26" i="4"/>
  <c r="S25" i="4"/>
  <c r="O25" i="4"/>
  <c r="L24" i="4"/>
  <c r="L23" i="4"/>
  <c r="O16" i="4"/>
  <c r="O15" i="4"/>
  <c r="M15" i="4"/>
  <c r="O14" i="4"/>
  <c r="M14" i="4"/>
  <c r="O13" i="4"/>
  <c r="M13" i="4"/>
  <c r="O12" i="4"/>
  <c r="M12" i="4"/>
  <c r="O11" i="4"/>
  <c r="M11" i="4"/>
  <c r="O10" i="4"/>
  <c r="M10" i="4"/>
  <c r="O9" i="4"/>
  <c r="M9" i="4"/>
  <c r="O8" i="4"/>
  <c r="M8" i="4"/>
  <c r="O7" i="4"/>
  <c r="M7" i="4"/>
  <c r="O6" i="4"/>
  <c r="M6" i="4"/>
  <c r="O5" i="4"/>
  <c r="M5" i="4"/>
  <c r="M990" i="4"/>
  <c r="O4" i="4"/>
  <c r="M4" i="4"/>
  <c r="M3" i="3"/>
  <c r="O3" i="3"/>
  <c r="M4" i="3"/>
  <c r="O4" i="3"/>
  <c r="M5" i="3"/>
  <c r="O5" i="3"/>
  <c r="M6" i="3"/>
  <c r="O6" i="3"/>
  <c r="M7" i="3"/>
  <c r="O7" i="3"/>
  <c r="M8" i="3"/>
  <c r="O8" i="3"/>
  <c r="M9" i="3"/>
  <c r="O9" i="3"/>
  <c r="M10" i="3"/>
  <c r="O10" i="3"/>
  <c r="M11" i="3"/>
  <c r="O11" i="3"/>
  <c r="M12" i="3"/>
  <c r="O12" i="3"/>
  <c r="M13" i="3"/>
  <c r="O13" i="3"/>
  <c r="M14" i="3"/>
  <c r="O14" i="3"/>
  <c r="O17" i="3"/>
  <c r="O19" i="3"/>
  <c r="O20" i="3"/>
  <c r="O22" i="3"/>
  <c r="O23" i="3"/>
  <c r="O24" i="3"/>
  <c r="O25" i="3"/>
  <c r="O26" i="3"/>
  <c r="O39" i="3"/>
  <c r="O40" i="3"/>
  <c r="O41" i="3"/>
  <c r="O42" i="3"/>
  <c r="O43" i="3"/>
  <c r="O44" i="3"/>
  <c r="O45" i="3"/>
  <c r="O46" i="3"/>
  <c r="O47" i="3"/>
  <c r="O48" i="3"/>
  <c r="O49" i="3"/>
  <c r="O50" i="3"/>
  <c r="S51" i="3"/>
  <c r="S52" i="3"/>
  <c r="S53" i="3"/>
  <c r="S54" i="3"/>
  <c r="S55" i="3"/>
  <c r="S56" i="3"/>
  <c r="S57" i="3"/>
  <c r="S58" i="3"/>
  <c r="S59" i="3"/>
  <c r="S60" i="3"/>
  <c r="S61" i="3"/>
  <c r="S62" i="3"/>
  <c r="O64" i="3"/>
  <c r="P64" i="3"/>
  <c r="O65" i="3"/>
  <c r="P65" i="3"/>
  <c r="O66" i="3"/>
  <c r="P66" i="3"/>
  <c r="O67" i="3"/>
  <c r="P67" i="3"/>
  <c r="O68" i="3"/>
  <c r="P68" i="3"/>
  <c r="O69" i="3"/>
  <c r="P69" i="3"/>
  <c r="O70" i="3"/>
  <c r="P70" i="3"/>
  <c r="O71" i="3"/>
  <c r="P71" i="3"/>
  <c r="O74" i="3"/>
  <c r="P74" i="3"/>
  <c r="O75" i="3"/>
  <c r="P75" i="3"/>
  <c r="R132" i="3"/>
  <c r="R133" i="3"/>
  <c r="R134" i="3"/>
  <c r="O135" i="3"/>
  <c r="O136" i="3"/>
  <c r="O137" i="3"/>
  <c r="O138" i="3"/>
  <c r="O139" i="3"/>
  <c r="O140" i="3"/>
  <c r="O141" i="3"/>
  <c r="O142" i="3"/>
  <c r="O143" i="3"/>
  <c r="O144" i="3"/>
  <c r="O145" i="3"/>
  <c r="O146" i="3"/>
  <c r="R169" i="3"/>
  <c r="M182" i="3"/>
  <c r="M183" i="3"/>
  <c r="M184" i="3"/>
  <c r="M185" i="3"/>
  <c r="M187" i="3"/>
  <c r="M188" i="3"/>
  <c r="M189" i="3"/>
  <c r="M190" i="3"/>
  <c r="M191" i="3"/>
  <c r="M192" i="3"/>
  <c r="M193" i="3"/>
  <c r="M201" i="3"/>
  <c r="O216" i="3"/>
  <c r="T216" i="3"/>
  <c r="O217" i="3"/>
  <c r="T217" i="3"/>
  <c r="O218" i="3"/>
  <c r="T218" i="3"/>
  <c r="O219" i="3"/>
  <c r="T219" i="3"/>
  <c r="O220" i="3"/>
  <c r="T220" i="3"/>
  <c r="O221" i="3"/>
  <c r="P221" i="3"/>
  <c r="S221" i="3"/>
  <c r="T221" i="3"/>
  <c r="O222" i="3"/>
  <c r="T222" i="3"/>
  <c r="O223" i="3"/>
  <c r="T223" i="3"/>
  <c r="O224" i="3"/>
  <c r="T224" i="3"/>
  <c r="O225" i="3"/>
  <c r="T225" i="3"/>
  <c r="O226" i="3"/>
  <c r="S226" i="3"/>
  <c r="T226" i="3"/>
  <c r="O227" i="3"/>
  <c r="T227" i="3"/>
  <c r="S248" i="3"/>
  <c r="S249" i="3"/>
  <c r="S250" i="3"/>
  <c r="S251" i="3"/>
  <c r="S252" i="3"/>
  <c r="S253" i="3"/>
  <c r="S254" i="3"/>
  <c r="S255" i="3"/>
  <c r="S256" i="3"/>
  <c r="S257" i="3"/>
  <c r="S258" i="3"/>
  <c r="S259" i="3"/>
  <c r="O264" i="3"/>
  <c r="O265" i="3"/>
  <c r="O266" i="3"/>
  <c r="O270" i="3"/>
  <c r="O271" i="3"/>
  <c r="O296" i="3"/>
  <c r="O314" i="3"/>
  <c r="M321" i="3"/>
  <c r="O347" i="3"/>
  <c r="M348" i="3"/>
  <c r="O430" i="3"/>
  <c r="O437" i="3"/>
  <c r="T493" i="3"/>
  <c r="T494" i="3"/>
  <c r="T495" i="3"/>
  <c r="T496" i="3"/>
  <c r="T497" i="3"/>
  <c r="T498" i="3"/>
  <c r="T499" i="3"/>
  <c r="T500" i="3"/>
  <c r="T501" i="3"/>
  <c r="T502" i="3"/>
  <c r="T503" i="3"/>
  <c r="T504" i="3"/>
  <c r="O520" i="3"/>
  <c r="O521" i="3"/>
  <c r="V528" i="3"/>
  <c r="V529" i="3"/>
  <c r="V530" i="3"/>
  <c r="V531" i="3"/>
  <c r="O533" i="3"/>
  <c r="O534" i="3"/>
  <c r="O540" i="3"/>
  <c r="O542" i="3"/>
  <c r="O552" i="3"/>
  <c r="T553" i="3"/>
  <c r="T554" i="3"/>
  <c r="T555" i="3"/>
  <c r="T556" i="3"/>
  <c r="T557" i="3"/>
  <c r="T558" i="3"/>
  <c r="T559" i="3"/>
  <c r="T560" i="3"/>
  <c r="T561" i="3"/>
  <c r="T562" i="3"/>
  <c r="T563" i="3"/>
  <c r="T564" i="3"/>
  <c r="O590" i="3"/>
  <c r="O603" i="3"/>
  <c r="R603" i="3"/>
  <c r="O604" i="3"/>
  <c r="R604" i="3"/>
  <c r="O605" i="3"/>
  <c r="R605" i="3"/>
  <c r="O606" i="3"/>
  <c r="R606" i="3"/>
  <c r="O607" i="3"/>
  <c r="R607" i="3"/>
  <c r="O608" i="3"/>
  <c r="R608" i="3"/>
  <c r="O609" i="3"/>
  <c r="R609" i="3"/>
  <c r="M611" i="3"/>
  <c r="O611" i="3"/>
  <c r="M612" i="3"/>
  <c r="O612" i="3"/>
  <c r="O613" i="3"/>
  <c r="R613" i="3"/>
  <c r="O614" i="3"/>
  <c r="R614" i="3"/>
  <c r="O615" i="3"/>
  <c r="R615" i="3"/>
  <c r="O616" i="3"/>
  <c r="R616" i="3"/>
  <c r="O617" i="3"/>
  <c r="R617" i="3"/>
  <c r="O618" i="3"/>
  <c r="R618" i="3"/>
  <c r="O619" i="3"/>
  <c r="R619" i="3"/>
  <c r="S620" i="3"/>
  <c r="S621" i="3"/>
  <c r="M622" i="3"/>
  <c r="O622" i="3"/>
  <c r="M623" i="3"/>
  <c r="O623" i="3"/>
  <c r="M624" i="3"/>
  <c r="O624" i="3"/>
  <c r="M625" i="3"/>
  <c r="O625" i="3"/>
  <c r="M626" i="3"/>
  <c r="O626" i="3"/>
  <c r="M627" i="3"/>
  <c r="O627" i="3"/>
  <c r="M628" i="3"/>
  <c r="O628" i="3"/>
  <c r="M629" i="3"/>
  <c r="O629" i="3"/>
  <c r="M630" i="3"/>
  <c r="O630" i="3"/>
  <c r="M631" i="3"/>
  <c r="O631" i="3"/>
  <c r="M632" i="3"/>
  <c r="O632" i="3"/>
  <c r="V649" i="3"/>
  <c r="V652" i="3"/>
  <c r="O693" i="3"/>
  <c r="O695" i="3"/>
  <c r="V697" i="3"/>
  <c r="O708" i="3"/>
  <c r="O748" i="3"/>
  <c r="S749" i="3"/>
  <c r="O834" i="3"/>
  <c r="O835" i="3"/>
  <c r="V836" i="3"/>
  <c r="V837" i="3"/>
  <c r="V838" i="3"/>
  <c r="V998" i="3" s="1"/>
  <c r="V850" i="3"/>
  <c r="V851" i="3"/>
  <c r="V852" i="3"/>
  <c r="O854" i="3"/>
  <c r="O869" i="3"/>
  <c r="V896" i="3"/>
  <c r="V897" i="3"/>
  <c r="O904" i="3"/>
  <c r="P904" i="3"/>
  <c r="O905" i="3"/>
  <c r="P905" i="3"/>
  <c r="O906" i="3"/>
  <c r="P906" i="3"/>
  <c r="O907" i="3"/>
  <c r="P907" i="3"/>
  <c r="O908" i="3"/>
  <c r="P908" i="3"/>
  <c r="O909" i="3"/>
  <c r="P909" i="3"/>
  <c r="O910" i="3"/>
  <c r="P910" i="3"/>
  <c r="O911" i="3"/>
  <c r="P911" i="3"/>
  <c r="O912" i="3"/>
  <c r="P912" i="3"/>
  <c r="O913" i="3"/>
  <c r="P913" i="3"/>
  <c r="O916" i="3"/>
  <c r="O917" i="3"/>
  <c r="O920" i="3"/>
  <c r="P921" i="3"/>
  <c r="O922" i="3"/>
  <c r="O945" i="3"/>
  <c r="O946" i="3"/>
  <c r="M961" i="3"/>
  <c r="N961" i="3"/>
  <c r="M963" i="3"/>
  <c r="N963" i="3"/>
  <c r="M964" i="3"/>
  <c r="N964" i="3"/>
  <c r="M966" i="3"/>
  <c r="N966" i="3"/>
  <c r="M968" i="3"/>
  <c r="N968" i="3"/>
  <c r="M969" i="3"/>
  <c r="N969" i="3"/>
  <c r="O976" i="3"/>
  <c r="O977" i="3"/>
  <c r="O979" i="3"/>
  <c r="V983" i="3"/>
  <c r="N15" i="1"/>
  <c r="N39" i="1"/>
  <c r="N40" i="1"/>
  <c r="N41" i="1"/>
  <c r="N46" i="1"/>
  <c r="R52" i="1"/>
  <c r="R53" i="1"/>
  <c r="R54" i="1"/>
  <c r="R55" i="1"/>
  <c r="R56" i="1"/>
  <c r="R57" i="1"/>
  <c r="R58" i="1"/>
  <c r="R59" i="1"/>
  <c r="R60" i="1"/>
  <c r="R61" i="1"/>
  <c r="R62" i="1"/>
  <c r="R63" i="1"/>
  <c r="R64" i="1"/>
  <c r="N72" i="1"/>
  <c r="O72" i="1"/>
  <c r="N75" i="1"/>
  <c r="O75" i="1"/>
  <c r="N76" i="1"/>
  <c r="O76" i="1"/>
  <c r="U90" i="1"/>
  <c r="U91" i="1"/>
  <c r="Q134" i="1"/>
  <c r="Q135" i="1"/>
  <c r="Q136" i="1"/>
  <c r="Q137" i="1"/>
  <c r="N139" i="1"/>
  <c r="N140" i="1"/>
  <c r="N141" i="1"/>
  <c r="N142" i="1"/>
  <c r="N143" i="1"/>
  <c r="N144" i="1"/>
  <c r="N145" i="1"/>
  <c r="N146" i="1"/>
  <c r="N147" i="1"/>
  <c r="N148" i="1"/>
  <c r="N149" i="1"/>
  <c r="N150" i="1"/>
  <c r="N169" i="1"/>
  <c r="Q170" i="1"/>
  <c r="N176" i="1"/>
  <c r="M177" i="1"/>
  <c r="M192" i="1"/>
  <c r="M194" i="1"/>
  <c r="M196" i="1"/>
  <c r="M197" i="1"/>
  <c r="M199" i="1"/>
  <c r="M200" i="1"/>
  <c r="M201" i="1"/>
  <c r="N223" i="1"/>
  <c r="O223" i="1"/>
  <c r="S223" i="1"/>
  <c r="N224" i="1"/>
  <c r="S224" i="1"/>
  <c r="N225" i="1"/>
  <c r="O225" i="1"/>
  <c r="S225" i="1"/>
  <c r="N226" i="1"/>
  <c r="O226" i="1"/>
  <c r="N227" i="1"/>
  <c r="O227" i="1"/>
  <c r="N228" i="1"/>
  <c r="O228" i="1"/>
  <c r="N229" i="1"/>
  <c r="O229" i="1"/>
  <c r="R229" i="1"/>
  <c r="N230" i="1"/>
  <c r="O230" i="1"/>
  <c r="R230" i="1"/>
  <c r="N231" i="1"/>
  <c r="O231" i="1"/>
  <c r="R231" i="1"/>
  <c r="S231" i="1"/>
  <c r="N232" i="1"/>
  <c r="S232" i="1"/>
  <c r="N233" i="1"/>
  <c r="S233" i="1"/>
  <c r="N234" i="1"/>
  <c r="S234" i="1"/>
  <c r="U238" i="1"/>
  <c r="R251" i="1"/>
  <c r="R252" i="1"/>
  <c r="R253" i="1"/>
  <c r="R254" i="1"/>
  <c r="R255" i="1"/>
  <c r="R256" i="1"/>
  <c r="R257" i="1"/>
  <c r="R258" i="1"/>
  <c r="R259" i="1"/>
  <c r="R260" i="1"/>
  <c r="R261" i="1"/>
  <c r="R262" i="1"/>
  <c r="N263" i="1"/>
  <c r="N264" i="1"/>
  <c r="N265" i="1"/>
  <c r="N267" i="1"/>
  <c r="N268" i="1"/>
  <c r="N269" i="1"/>
  <c r="N270" i="1"/>
  <c r="N271" i="1"/>
  <c r="U341" i="1"/>
  <c r="O473" i="1"/>
  <c r="N487" i="1"/>
  <c r="S489" i="1"/>
  <c r="S490" i="1"/>
  <c r="S491" i="1"/>
  <c r="S492" i="1"/>
  <c r="S493" i="1"/>
  <c r="S494" i="1"/>
  <c r="S495" i="1"/>
  <c r="S496" i="1"/>
  <c r="S497" i="1"/>
  <c r="S498" i="1"/>
  <c r="S499" i="1"/>
  <c r="S500" i="1"/>
  <c r="N540" i="1"/>
  <c r="N541" i="1"/>
  <c r="S543" i="1"/>
  <c r="S544" i="1"/>
  <c r="S545" i="1"/>
  <c r="S546" i="1"/>
  <c r="S547" i="1"/>
  <c r="S548" i="1"/>
  <c r="S549" i="1"/>
  <c r="S550" i="1"/>
  <c r="S551" i="1"/>
  <c r="S552" i="1"/>
  <c r="S553" i="1"/>
  <c r="S554" i="1"/>
  <c r="N567" i="1"/>
  <c r="N568" i="1"/>
  <c r="N592" i="1"/>
  <c r="M593" i="1"/>
  <c r="N593" i="1"/>
  <c r="M594" i="1"/>
  <c r="N594" i="1"/>
  <c r="M595" i="1"/>
  <c r="N595" i="1"/>
  <c r="M596" i="1"/>
  <c r="N596" i="1"/>
  <c r="M597" i="1"/>
  <c r="N597" i="1"/>
  <c r="M598" i="1"/>
  <c r="N598" i="1"/>
  <c r="M599" i="1"/>
  <c r="N599" i="1"/>
  <c r="M600" i="1"/>
  <c r="N600" i="1"/>
  <c r="M601" i="1"/>
  <c r="N601" i="1"/>
  <c r="M602" i="1"/>
  <c r="N602" i="1"/>
  <c r="M603" i="1"/>
  <c r="N603" i="1"/>
  <c r="N615" i="1"/>
  <c r="N617" i="1"/>
  <c r="M618" i="1"/>
  <c r="N618" i="1"/>
  <c r="M619" i="1"/>
  <c r="N619" i="1"/>
  <c r="M620" i="1"/>
  <c r="N620" i="1"/>
  <c r="M621" i="1"/>
  <c r="N621" i="1"/>
  <c r="M622" i="1"/>
  <c r="N622" i="1"/>
  <c r="M623" i="1"/>
  <c r="N623" i="1"/>
  <c r="M624" i="1"/>
  <c r="N624" i="1"/>
  <c r="M625" i="1"/>
  <c r="N625" i="1"/>
  <c r="M626" i="1"/>
  <c r="N626" i="1"/>
  <c r="M627" i="1"/>
  <c r="N627" i="1"/>
  <c r="M628" i="1"/>
  <c r="N628" i="1"/>
  <c r="N629" i="1"/>
  <c r="U696" i="1"/>
  <c r="N723" i="1"/>
  <c r="N739" i="1"/>
  <c r="N744" i="1"/>
  <c r="N748" i="1"/>
  <c r="U749" i="1"/>
  <c r="U750" i="1"/>
  <c r="U751" i="1"/>
  <c r="U755" i="1"/>
  <c r="N768" i="1"/>
  <c r="N802" i="1"/>
  <c r="N856" i="1"/>
  <c r="N860" i="1"/>
  <c r="U870" i="1"/>
  <c r="U874" i="1"/>
  <c r="N876" i="1"/>
  <c r="N877" i="1"/>
  <c r="N890" i="1"/>
  <c r="U919" i="1"/>
  <c r="N927" i="1"/>
  <c r="O927" i="1"/>
  <c r="N928" i="1"/>
  <c r="O928" i="1"/>
  <c r="N929" i="1"/>
  <c r="O929" i="1"/>
  <c r="N930" i="1"/>
  <c r="O930" i="1"/>
  <c r="N931" i="1"/>
  <c r="O931" i="1"/>
  <c r="N932" i="1"/>
  <c r="O932" i="1"/>
  <c r="N933" i="1"/>
  <c r="O933" i="1"/>
  <c r="N934" i="1"/>
  <c r="O934" i="1"/>
  <c r="N935" i="1"/>
  <c r="O935" i="1"/>
  <c r="N936" i="1"/>
  <c r="O936" i="1"/>
  <c r="N937" i="1"/>
  <c r="O937" i="1"/>
  <c r="Q942" i="1"/>
  <c r="N944" i="1"/>
  <c r="N946" i="1"/>
  <c r="N947" i="1"/>
  <c r="R961" i="1"/>
  <c r="R962" i="1"/>
  <c r="N1021" i="1" l="1"/>
  <c r="T998" i="3"/>
  <c r="O998" i="3"/>
  <c r="S998" i="3"/>
  <c r="O990" i="4"/>
  <c r="R1021" i="1"/>
  <c r="T990" i="4"/>
  <c r="S990" i="4"/>
  <c r="V1021" i="1" l="1"/>
  <c r="W998" i="3"/>
  <c r="W990" i="4"/>
</calcChain>
</file>

<file path=xl/sharedStrings.xml><?xml version="1.0" encoding="utf-8"?>
<sst xmlns="http://schemas.openxmlformats.org/spreadsheetml/2006/main" count="39403" uniqueCount="5534">
  <si>
    <t>Type de traitement</t>
  </si>
  <si>
    <t>Municipalité</t>
  </si>
  <si>
    <t>MRC</t>
  </si>
  <si>
    <t>Année</t>
  </si>
  <si>
    <t>Mois</t>
  </si>
  <si>
    <t>Vidange des boues</t>
  </si>
  <si>
    <t>Disposition des boues</t>
  </si>
  <si>
    <t>Commentaire de vidange des boues</t>
  </si>
  <si>
    <t>Commentaire de disposition des boues</t>
  </si>
  <si>
    <t>Ouvrage municipal d'assainissement des eaux usées de Saint-Charles-de-Bourget</t>
  </si>
  <si>
    <t>Dégrilleur fin</t>
  </si>
  <si>
    <t>Saint-Charles-de-Bourget</t>
  </si>
  <si>
    <t>Le Fjord-du-Saguenay</t>
  </si>
  <si>
    <t xml:space="preserve">Janvier </t>
  </si>
  <si>
    <t>Non défini</t>
  </si>
  <si>
    <t>Ouvrage municipal d'assainissement des eaux usées de Longueuil</t>
  </si>
  <si>
    <t>Physico-chimique</t>
  </si>
  <si>
    <t>Longueuil</t>
  </si>
  <si>
    <t>Ville de Longueuil</t>
  </si>
  <si>
    <t>Ouvrage municipal d'assainissement des eaux usées de Laval (Lapinière)</t>
  </si>
  <si>
    <t>Laval</t>
  </si>
  <si>
    <t>Ville de Laval</t>
  </si>
  <si>
    <t>Ouvrage municipal d'assainissement des eaux usées de Laval (Fabreville)</t>
  </si>
  <si>
    <t>Ouvrage municipal d'assainissement des eaux usées de Laval (Sainte-Rose-Auteuil)</t>
  </si>
  <si>
    <t>Biofiltration</t>
  </si>
  <si>
    <t xml:space="preserve">Ouvrage municipal d'assainissement des eaux usées de Montréal (station Jean-R.-Marcotte) </t>
  </si>
  <si>
    <t>Montréal</t>
  </si>
  <si>
    <t>Ville de Montréal</t>
  </si>
  <si>
    <t>Ouvrage municipal d'assainissement des eaux usées de Lévis (Saint-Nicolas)</t>
  </si>
  <si>
    <t>Boues activées à réacteur biologique séquentiel</t>
  </si>
  <si>
    <t>Lévis</t>
  </si>
  <si>
    <t>Ville de Lévis</t>
  </si>
  <si>
    <t>Disques biologiques</t>
  </si>
  <si>
    <t>Drummond</t>
  </si>
  <si>
    <t>Ouvrage municipal d'assainissement des eaux usées de Saint-Antoine-de-Tilly</t>
  </si>
  <si>
    <t>Saint-Antoine-de-Tilly</t>
  </si>
  <si>
    <t>Lotbinière</t>
  </si>
  <si>
    <t>Ouvrage municipal d'assainissement des eaux usées de Salaberry-de-Valleyfield</t>
  </si>
  <si>
    <t>Boues activées</t>
  </si>
  <si>
    <t>Salaberry-de-Valleyfield</t>
  </si>
  <si>
    <t>Beauharnois-Salaberry</t>
  </si>
  <si>
    <t>Ouvrage municipal d'assainissement des eaux usées de Gatineau</t>
  </si>
  <si>
    <t>Gatineau</t>
  </si>
  <si>
    <t>Ville de Gatineau</t>
  </si>
  <si>
    <t>OMAEU de la Régie d'assainissement des eaux de La Vallée-du-Richelieu</t>
  </si>
  <si>
    <t>Mont-Saint-Hilaire</t>
  </si>
  <si>
    <t>La Vallée-du-Richelieu</t>
  </si>
  <si>
    <t>Ouvrage municipal d'assainissement des eaux usées de Saguenay (Chicoutimi)</t>
  </si>
  <si>
    <t>Boues activées à fossé d'oxydation</t>
  </si>
  <si>
    <t>Saguenay</t>
  </si>
  <si>
    <t>Ville de Saguenay</t>
  </si>
  <si>
    <t>Ouvrage municipal d'assainissement des eaux usées de Saguenay (La Baie)</t>
  </si>
  <si>
    <t>Ouvrage municipal d'assainissement des eaux usées de Granby</t>
  </si>
  <si>
    <t>Boues activées à aération prolongée</t>
  </si>
  <si>
    <t>Granby</t>
  </si>
  <si>
    <t>La Haute-Yamaska</t>
  </si>
  <si>
    <t>Ouvrage municipal d'assainissement des eaux usées de L'Île-Perrot</t>
  </si>
  <si>
    <t>L'Île-Perrot</t>
  </si>
  <si>
    <t>Vaudreuil-Soulanges</t>
  </si>
  <si>
    <t>Ouvrage municipal d'assainissement des eaux usées de Repentigny</t>
  </si>
  <si>
    <t>Repentigny</t>
  </si>
  <si>
    <t>L'Assomption</t>
  </si>
  <si>
    <t>Ouvrage municipal d'assainissement des eaux usées de Sainte-Adèle (Mont-Rolland)</t>
  </si>
  <si>
    <t>Sainte-Adèle</t>
  </si>
  <si>
    <t>Les Pays-d'en-Haut</t>
  </si>
  <si>
    <t>Ouvrage municipal d'assainissement des eaux usées de Thetford Mines (Black Lake)</t>
  </si>
  <si>
    <t>Thetford Mines</t>
  </si>
  <si>
    <t>Les Appalaches</t>
  </si>
  <si>
    <t>OMAEU de Sainte-Cécile-de-Whitton (Saint-Samuel)</t>
  </si>
  <si>
    <t>Réacteur biologique membranaire</t>
  </si>
  <si>
    <t>Sainte-Cécile-de-Whitton</t>
  </si>
  <si>
    <t>Le Granit</t>
  </si>
  <si>
    <t>Ouvrage municipal d'assainissement des eaux usées de Crabtree</t>
  </si>
  <si>
    <t>Crabtree</t>
  </si>
  <si>
    <t>Joliette</t>
  </si>
  <si>
    <t>Ouvrage municipal d'assainissement des eaux usées de Saint-Jean-sur-Richelieu</t>
  </si>
  <si>
    <t>Saint-Jean-sur-Richelieu</t>
  </si>
  <si>
    <t>Le Haut-Richelieu</t>
  </si>
  <si>
    <t>Ouvrage municipal d'assainissement des eaux usées de Saint-Eustache</t>
  </si>
  <si>
    <t>Saint-Eustache</t>
  </si>
  <si>
    <t>Deux-Montagnes</t>
  </si>
  <si>
    <t>Ouvrage municipal d'assainissement des eaux usées d'Hudson</t>
  </si>
  <si>
    <t>Hudson</t>
  </si>
  <si>
    <t>Ouvrage municipal d'assainissement des eaux usées de Saint-Roch-de-l'Achigan</t>
  </si>
  <si>
    <t>Saint-Roch-de-l'Achigan</t>
  </si>
  <si>
    <t>Montcalm</t>
  </si>
  <si>
    <t>OMAEU de Saint-Georges (Beauce)</t>
  </si>
  <si>
    <t>Saint-Georges</t>
  </si>
  <si>
    <t>Beauce-Sartigan</t>
  </si>
  <si>
    <t>Ouvrage municipal d'assainissement des eaux usées de La Malbaie</t>
  </si>
  <si>
    <t>La Malbaie</t>
  </si>
  <si>
    <t>Charlevoix-Est</t>
  </si>
  <si>
    <t>Les Maskoutains</t>
  </si>
  <si>
    <t>Ouvrage municipal d'assainissement des eaux usées de Pincourt</t>
  </si>
  <si>
    <t>Pincourt</t>
  </si>
  <si>
    <t>Ouvrage municipal d'assainissement des eaux usées de Québec (Est)</t>
  </si>
  <si>
    <t>Québec</t>
  </si>
  <si>
    <t>Ville de Québec</t>
  </si>
  <si>
    <t>Ouvrage municipal d'assainissement des eaux usées de Châteauguay</t>
  </si>
  <si>
    <t>Châteauguay</t>
  </si>
  <si>
    <t>Roussillon</t>
  </si>
  <si>
    <t>OMAEU de la Régie d'assainissement des eaux du bassin de La Prairie</t>
  </si>
  <si>
    <t>Sainte-Catherine</t>
  </si>
  <si>
    <t>Ouvrage municipal d'assainissement des eaux usées de Québec (Ouest)</t>
  </si>
  <si>
    <t>Ouvrage municipal d'assainissement des eaux usées de Sainte-Croix</t>
  </si>
  <si>
    <t>Sainte-Croix</t>
  </si>
  <si>
    <t>Ouvrage municipal d'assainissement des eaux usées de Sainte-Agathe-des-Monts</t>
  </si>
  <si>
    <t>Sainte-Agathe-des-Monts</t>
  </si>
  <si>
    <t>Les Laurentides</t>
  </si>
  <si>
    <t>Ouvrage municipal d'assainissement des eaux usées de Val-d'Or</t>
  </si>
  <si>
    <t>Val-d'Or</t>
  </si>
  <si>
    <t>La Vallée-de-l'Or</t>
  </si>
  <si>
    <t>Ouvrage municipal d'assainissement des eaux usées de Saguenay (Jonquière)</t>
  </si>
  <si>
    <t xml:space="preserve">Ouvrage municipal d'assainissement des eaux usées de Marieville </t>
  </si>
  <si>
    <t>Marieville</t>
  </si>
  <si>
    <t>Rouville</t>
  </si>
  <si>
    <t>Ouvrage municipal d'assainissement des eaux usées de Victoriaville</t>
  </si>
  <si>
    <t>Victoriaville</t>
  </si>
  <si>
    <t>Arthabaska</t>
  </si>
  <si>
    <t>Ouvrage municipal d'assainissement des eaux usées de Farnham</t>
  </si>
  <si>
    <t>Farnham</t>
  </si>
  <si>
    <t>Brome-Missisquoi</t>
  </si>
  <si>
    <t>Ouvrage municipal d'assainissement des eaux usées de L'Île-d'Anticosti (Port Menier)</t>
  </si>
  <si>
    <t>L'Île-d'Anticosti</t>
  </si>
  <si>
    <t>Minganie</t>
  </si>
  <si>
    <t>Ouvrage municipal d'assainissement des eaux usées de Baie-Johan-Beetz</t>
  </si>
  <si>
    <t>Baie-Johan-Beetz</t>
  </si>
  <si>
    <t>Ouvrage municipal d'assainissement des eaux usées de Beaupré</t>
  </si>
  <si>
    <t>Beaupré</t>
  </si>
  <si>
    <t>La Côte-de-Beaupré</t>
  </si>
  <si>
    <t>Ouvrage municipal d'assainissement des eaux usées de Grande-Vallée</t>
  </si>
  <si>
    <t>Grande-Vallée</t>
  </si>
  <si>
    <t>La Côte-de-Gaspé</t>
  </si>
  <si>
    <t>Ouvrage municipal d'assainissement des eaux usées de Saint-Jacques</t>
  </si>
  <si>
    <t>Saint-Jacques</t>
  </si>
  <si>
    <t>Ouvrage municipal d'assainissement des eaux usées de Mirabel (Saint-Canut)</t>
  </si>
  <si>
    <t>Mirabel</t>
  </si>
  <si>
    <t>Ouvrage municipal d'assainissement des eaux usées de Saint-Cyrille-de-Wendover</t>
  </si>
  <si>
    <t>Saint-Cyrille-de-Wendover</t>
  </si>
  <si>
    <t>Ouvrage municipal d'assainissement des eaux usées de Boisbriand</t>
  </si>
  <si>
    <t>Boisbriand</t>
  </si>
  <si>
    <t>Thérèse-De Blainville</t>
  </si>
  <si>
    <t>Ouvrage municipal d'assainissement des eaux usées de Lac-Mégantic</t>
  </si>
  <si>
    <t>Lac-Mégantic</t>
  </si>
  <si>
    <t>Ouvrage municipal d'assainissement des eaux usées d'Asbestos</t>
  </si>
  <si>
    <t>Val-des-Sources</t>
  </si>
  <si>
    <t>Les Sources</t>
  </si>
  <si>
    <t>Ouvrage municipal d'assainissement des eaux usées de Mont-Tremblant (Saint-Jovite)</t>
  </si>
  <si>
    <t>Mont-Tremblant</t>
  </si>
  <si>
    <t>OMAEU de la Régie d'assainis. des eaux usées de Boischatel, L'Ange-Gardien, Château-Richer</t>
  </si>
  <si>
    <t>L'Ange-Gardien</t>
  </si>
  <si>
    <t>OMAEU de la Régie intermunicipale d'assainissement des eaux de Rosemère et de Lorraine</t>
  </si>
  <si>
    <t>Rosemère</t>
  </si>
  <si>
    <t>Ouvrage municipal d'assainissement des eaux usées de Sherbrooke</t>
  </si>
  <si>
    <t>Sherbrooke</t>
  </si>
  <si>
    <t>Ville de Sherbrooke</t>
  </si>
  <si>
    <t>Ouvrage municipal d'assainissement des eaux usées de Saint-Gabriel</t>
  </si>
  <si>
    <t>Saint-Gabriel</t>
  </si>
  <si>
    <t>D'Autray</t>
  </si>
  <si>
    <t>Ouvrage municipal d'assainissement des eaux usées de Sherbrooke (Rock Forest)</t>
  </si>
  <si>
    <t>Ouvrage municipal d'assainissement des eaux usées de Cowansville</t>
  </si>
  <si>
    <t>Cowansville</t>
  </si>
  <si>
    <t>Ouvrage municipal d'assainissement des eaux usées de Saint-Bernard-de-Michaudville</t>
  </si>
  <si>
    <t>Réacteur biologique à garnissage en suspension de type MBBR</t>
  </si>
  <si>
    <t>Saint-Bernard-de-Michaudville</t>
  </si>
  <si>
    <t>Ouvrage municipal d'assainissement des eaux usées de Beauceville</t>
  </si>
  <si>
    <t>Beauceville</t>
  </si>
  <si>
    <t>Robert-Cliche</t>
  </si>
  <si>
    <t>Ouvrage municipal d'assainissement des eaux usées de Les Escoumins</t>
  </si>
  <si>
    <t>Les Escoumins</t>
  </si>
  <si>
    <t>La Haute-Côte-Nord</t>
  </si>
  <si>
    <t>Ouvrage municipal d'assainissement des eaux usées de Magog</t>
  </si>
  <si>
    <t>Magog</t>
  </si>
  <si>
    <t>Memphrémagog</t>
  </si>
  <si>
    <t>Ouvrage municipal d'assainissement des eaux usées de Gaspé</t>
  </si>
  <si>
    <t>Gaspé</t>
  </si>
  <si>
    <t>Ouvrage municipal d'assainissement des eaux usées de Vaudreuil-Dorion</t>
  </si>
  <si>
    <t>Vaudreuil-Dorion</t>
  </si>
  <si>
    <t>Ouvrage municipal d'assainissement des eaux usées d'Ayer's Cliff</t>
  </si>
  <si>
    <t>Ayer's Cliff</t>
  </si>
  <si>
    <t>Ouvrage municipal d'assainissement des eaux usées de Saint-Jean-Baptiste</t>
  </si>
  <si>
    <t>Saint-Jean-Baptiste</t>
  </si>
  <si>
    <t>Ouvrage municipal d'assainissement des eaux usées de Saint-Alexandre-de-Kamouraska</t>
  </si>
  <si>
    <t>Saint-Alexandre-de-Kamouraska</t>
  </si>
  <si>
    <t>Kamouraska</t>
  </si>
  <si>
    <t>Ouvrage municipal d'assainissement des eaux usées de Saint-Côme</t>
  </si>
  <si>
    <t>Saint-Côme</t>
  </si>
  <si>
    <t>Matawinie</t>
  </si>
  <si>
    <t xml:space="preserve">Février </t>
  </si>
  <si>
    <t>65 lts</t>
  </si>
  <si>
    <t>OMAEU Les Éboulements (Saint-Joseph-de-la-Rive)</t>
  </si>
  <si>
    <t>Les Éboulements</t>
  </si>
  <si>
    <t>Charlevoix</t>
  </si>
  <si>
    <t>Ouvrage municipal d'assainissement des eaux usées de Saint-Hugues</t>
  </si>
  <si>
    <t>Réacteur biologique à garnissage en suspension</t>
  </si>
  <si>
    <t>Saint-Hugues</t>
  </si>
  <si>
    <t>Étangs aérés</t>
  </si>
  <si>
    <t>Maskinongé</t>
  </si>
  <si>
    <t>Étangs aérés à parois verticales</t>
  </si>
  <si>
    <t>Ouvrage municipal d'assainissement des eaux usées de Bouchette</t>
  </si>
  <si>
    <t>Disques biologiques Rotolyne</t>
  </si>
  <si>
    <t>Bouchette</t>
  </si>
  <si>
    <t>La Vallée-de-la-Gatineau</t>
  </si>
  <si>
    <t xml:space="preserve">Mars </t>
  </si>
  <si>
    <t>60 lts</t>
  </si>
  <si>
    <t>Ouvrage municipal d'assainissement des eaux usées de Bromont</t>
  </si>
  <si>
    <t>Bromont</t>
  </si>
  <si>
    <t>Ouvrage municipal d'assainissement des eaux usées de Beauharnois</t>
  </si>
  <si>
    <t>Beauharnois</t>
  </si>
  <si>
    <t>Ouvrage municipal d'assainissement des eaux usées de Saint-Fulgence</t>
  </si>
  <si>
    <t>Saint-Fulgence</t>
  </si>
  <si>
    <t xml:space="preserve">Avril </t>
  </si>
  <si>
    <t>Ouvrage municipal d'assainissement des eaux usées de Stanbridge East</t>
  </si>
  <si>
    <t>Disques biologiques Rotofix</t>
  </si>
  <si>
    <t>Stanbridge East</t>
  </si>
  <si>
    <t>Ouvrage municipal d'assainissement des eaux usées de Louiseville</t>
  </si>
  <si>
    <t>Louiseville</t>
  </si>
  <si>
    <t>OMAEU MRC des Basques (parc Mont-Saint-Mathieu)</t>
  </si>
  <si>
    <t>Réacteur biologique membranaire Ecoprocess</t>
  </si>
  <si>
    <t>Saint-Mathieu-de-Rioux</t>
  </si>
  <si>
    <t>Les Basques</t>
  </si>
  <si>
    <t xml:space="preserve">Mai </t>
  </si>
  <si>
    <t>Étangs aérés à rétention réduite à parois verticales</t>
  </si>
  <si>
    <t>Les Jardins-de-Napierville</t>
  </si>
  <si>
    <t>Ouvrage municipal d'assainissement des eaux usées d'Upton</t>
  </si>
  <si>
    <t>Upton</t>
  </si>
  <si>
    <t>Acton</t>
  </si>
  <si>
    <t>Ouvrage municipal d'assainissement des eaux usées de Saint-Claude</t>
  </si>
  <si>
    <t>Disques biologiques à réacteur biologique rotatif</t>
  </si>
  <si>
    <t>Saint-Claude</t>
  </si>
  <si>
    <t>Le Val-Saint-François</t>
  </si>
  <si>
    <t>Ouvrage municipal d'assainissement des eaux usées de Val-des-Monts (Perkins)</t>
  </si>
  <si>
    <t>Filtres intermittents à recirculation</t>
  </si>
  <si>
    <t>Val-des-Monts</t>
  </si>
  <si>
    <t>Les Collines-de-l'Outaouais</t>
  </si>
  <si>
    <t>Ouvrage municipal d'assainissement des eaux usées de Warwick</t>
  </si>
  <si>
    <t>Warwick</t>
  </si>
  <si>
    <t>Ouvrage municipal d'assainissement des eaux usées de Rivière-Beaudette</t>
  </si>
  <si>
    <t>Rivière-Beaudette</t>
  </si>
  <si>
    <t>Bellechasse</t>
  </si>
  <si>
    <t>Rivière-du-Loup</t>
  </si>
  <si>
    <t>Ouvrage municipal d'assainissement des eaux usées de Shawville</t>
  </si>
  <si>
    <t>Shawville</t>
  </si>
  <si>
    <t>Pontiac</t>
  </si>
  <si>
    <t>Ouvrage municipal d'assainissement des eaux usées d'East Angus</t>
  </si>
  <si>
    <t>East Angus</t>
  </si>
  <si>
    <t>Le Haut-Saint-François</t>
  </si>
  <si>
    <t>Adstock</t>
  </si>
  <si>
    <t>Ouvrage municipal d'assainissement des eaux usées d'Henryville</t>
  </si>
  <si>
    <t>Henryville</t>
  </si>
  <si>
    <t>Ouvrage municipal d'assainissement des eaux usées de Saint-Nazaire-de-Dorchester (2012)</t>
  </si>
  <si>
    <t>Saint-Nazaire-de-Dorchester</t>
  </si>
  <si>
    <t>Ouvrage municipal d'assainissement des eaux usées de Saint-Charles-de-Bellechasse</t>
  </si>
  <si>
    <t>Saint-Charles-de-Bellechasse</t>
  </si>
  <si>
    <t>Ouvrage municipal d'assainissement des eaux usées de Notre-Dame-des-Pins</t>
  </si>
  <si>
    <t>Notre-Dame-des-Pins</t>
  </si>
  <si>
    <t xml:space="preserve">Juin </t>
  </si>
  <si>
    <t>70 lts</t>
  </si>
  <si>
    <t>Ouvrage municipal d'assainissement des eaux usées de Brébeuf</t>
  </si>
  <si>
    <t>Brébeuf</t>
  </si>
  <si>
    <t>Ouvrage municipal d'assainissement des eaux usées de Saint-Alexandre</t>
  </si>
  <si>
    <t>Saint-Alexandre</t>
  </si>
  <si>
    <t>Fosse septique avec infiltration</t>
  </si>
  <si>
    <t>Ouvrage municipal d'assainissement des eaux usées de Saint-Simon (Rimouski)</t>
  </si>
  <si>
    <t>Marais artificiel (roseaux)</t>
  </si>
  <si>
    <t>Saint-Simon-de-Rimouski</t>
  </si>
  <si>
    <t>Ouvrage municipal d'assainissement des eaux usées de Stoneham</t>
  </si>
  <si>
    <t>Stoneham-et-Tewkesbury</t>
  </si>
  <si>
    <t>La Jacques-Cartier</t>
  </si>
  <si>
    <t>Ouvrage municipal d'assainissement des eaux usées de Val-d'Or (Ile Siscoe)</t>
  </si>
  <si>
    <t>Ouvrage municipal d'assainissement des eaux usées de Val-d'Or (Louvicourt)</t>
  </si>
  <si>
    <t>Étangs aérés à rétention réduite</t>
  </si>
  <si>
    <t>320 litres de rebuts</t>
  </si>
  <si>
    <t>Ouvrage municipal d'assainissement des eaux usées de Terrebonne</t>
  </si>
  <si>
    <t>Terrebonne</t>
  </si>
  <si>
    <t>Les Moulins</t>
  </si>
  <si>
    <t xml:space="preserve">Juillet </t>
  </si>
  <si>
    <t>Fosse septique</t>
  </si>
  <si>
    <t>Ouvrage municipal d'assainissement des eaux usées de Saint-Onésime-d'Ixworth</t>
  </si>
  <si>
    <t>Bio-fosse MN</t>
  </si>
  <si>
    <t>Saint-Onésime-d'Ixworth</t>
  </si>
  <si>
    <t>Ouvrage municipal d'assainissement des eaux usées de Rimouski</t>
  </si>
  <si>
    <t>Rimouski</t>
  </si>
  <si>
    <t>Rimouski-Neigette</t>
  </si>
  <si>
    <t>Ouvrage municipal d'assainissement des eaux usées de Chartierville</t>
  </si>
  <si>
    <t>Chartierville</t>
  </si>
  <si>
    <t>Stanstead</t>
  </si>
  <si>
    <t>Ouvrage municipal d'assainissement des eaux usées de Wickham</t>
  </si>
  <si>
    <t>Wickham</t>
  </si>
  <si>
    <t>Ouvrage municipal d'assainissement des eaux usées de Sainte-Hélène-de-Bagot</t>
  </si>
  <si>
    <t>Sainte-Hélène-de-Bagot</t>
  </si>
  <si>
    <t xml:space="preserve">Août </t>
  </si>
  <si>
    <t>Ouvrage municipal d'assainissement des eaux usées de Sainte-Catherine-de-Hatley</t>
  </si>
  <si>
    <t>Sainte-Catherine-de-Hatley</t>
  </si>
  <si>
    <t>Ouvrage municipal d'assainissement des eaux usées de Sainte-Julie</t>
  </si>
  <si>
    <t>Étangs aérés à réacteur biologique avec lit en mouvement</t>
  </si>
  <si>
    <t>Sainte-Julie</t>
  </si>
  <si>
    <t>Marguerite-D'Youville</t>
  </si>
  <si>
    <t>Ouvrage municipal d'assainissement des eaux usées de Sainte-Ursule (Petit Poste)</t>
  </si>
  <si>
    <t>Marais artificiel de type Écophyltre-P</t>
  </si>
  <si>
    <t>Sainte-Ursule</t>
  </si>
  <si>
    <t>Bionest</t>
  </si>
  <si>
    <t>Filtre à tourbe Ecoflo</t>
  </si>
  <si>
    <t>Ouvrage municipal d'assainissement des eaux usées de Rimouski (secteur Le Bic)</t>
  </si>
  <si>
    <t>Ouvrage municipal d'assainissement des eaux usées de Rimouski (Sainte-Blandine)</t>
  </si>
  <si>
    <t>La Matapédia</t>
  </si>
  <si>
    <t>Ouvrage municipal d'assainissement des eaux usées de Windsor</t>
  </si>
  <si>
    <t>Windsor</t>
  </si>
  <si>
    <t>Marais artificiel de type roseaux épurateurs HSS</t>
  </si>
  <si>
    <t>Ouvrage municipal d'assainissement des eaux usées de Cloridorme</t>
  </si>
  <si>
    <t>Cloridorme</t>
  </si>
  <si>
    <t>Septembre</t>
  </si>
  <si>
    <t>Ouvrage municipal d'assainissement des eaux usées d'Inverness</t>
  </si>
  <si>
    <t>Inverness</t>
  </si>
  <si>
    <t>L'Érable</t>
  </si>
  <si>
    <t>Ouvrage municipal d'assainissement des eaux usées de Venise-en-Québec</t>
  </si>
  <si>
    <t>Venise-en-Québec</t>
  </si>
  <si>
    <t>Ouvrage municipal d'assainissement des eaux usées de La Malbaie (Mont-Grands-Fonds)</t>
  </si>
  <si>
    <t>Filtre à tourbe</t>
  </si>
  <si>
    <t>Ouvrage municipal d'assainissement des eaux usées de Sainte-Marguerite-Marie (Matapédia)</t>
  </si>
  <si>
    <t>Sainte-Marguerite-Marie</t>
  </si>
  <si>
    <t>Ouvrage municipal d'assainissement des eaux usées de Hope</t>
  </si>
  <si>
    <t>Hope</t>
  </si>
  <si>
    <t>Bonaventure</t>
  </si>
  <si>
    <t>Alma</t>
  </si>
  <si>
    <t>Lac-Saint-Jean-Est</t>
  </si>
  <si>
    <t>Ouvrage municipal d'assainissement des eaux usées de La Conception</t>
  </si>
  <si>
    <t>La Conception</t>
  </si>
  <si>
    <t>Antoine-Labelle</t>
  </si>
  <si>
    <t>Ouvrage municipal d'assainissement des eaux usées de Mont-Laurier</t>
  </si>
  <si>
    <t>Mont-Laurier</t>
  </si>
  <si>
    <t>Ouvrage municipal d'assainissement des eaux usées de Saint-Mathieu-d'Harricana</t>
  </si>
  <si>
    <t>Saint-Mathieu-d'Harricana</t>
  </si>
  <si>
    <t>Abitibi</t>
  </si>
  <si>
    <t>OMAEU de la Régie interm. d'assainissement des eaux de Sainte-Thérèse et Blainville</t>
  </si>
  <si>
    <t>Blainville</t>
  </si>
  <si>
    <t>Nicolet-Yamaska</t>
  </si>
  <si>
    <t xml:space="preserve">Octobre </t>
  </si>
  <si>
    <t>Le Rocher-Percé</t>
  </si>
  <si>
    <t>Ouvrage municipal d'assainissement des eaux usées de Mont-Saint-Grégoire</t>
  </si>
  <si>
    <t>Réacteur biologique à garnissage en suspension de type SMBR</t>
  </si>
  <si>
    <t>Mont-Saint-Grégoire</t>
  </si>
  <si>
    <t>Ouvrage municipal d'assainissement des eaux usées de Chertsey</t>
  </si>
  <si>
    <t>Filtres intermittents à recirculation avec infiltration</t>
  </si>
  <si>
    <t>Chertsey</t>
  </si>
  <si>
    <t>Deschambault-Grondines</t>
  </si>
  <si>
    <t>Portneuf</t>
  </si>
  <si>
    <t>Ouvrage municipal d'assainissement des eaux usées de L'Isle-aux-Coudres</t>
  </si>
  <si>
    <t>L'Isle-aux-Coudres</t>
  </si>
  <si>
    <t>Ouvrage municipal d'assainissement des eaux usées de Saint-Denis-sur-Richelieu</t>
  </si>
  <si>
    <t>Saint-Denis-sur-Richelieu</t>
  </si>
  <si>
    <t>Ouvrage municipal d'assainissement des eaux usées de Coteau-du-Lac (épur. parc industriel)</t>
  </si>
  <si>
    <t>Coteau-du-Lac</t>
  </si>
  <si>
    <t>Ouvrage municipal d'assainissement des eaux usées de Chelsea</t>
  </si>
  <si>
    <t>Chelsea</t>
  </si>
  <si>
    <t>Le Domaine-du-Roy</t>
  </si>
  <si>
    <t>L'Islet</t>
  </si>
  <si>
    <t>Filtres à sable intermittents enfouis</t>
  </si>
  <si>
    <t>Ouvrage municipal d'assainissement des eaux usées de Chambly</t>
  </si>
  <si>
    <t>Chambly</t>
  </si>
  <si>
    <t>Ouvrage municipal d'assainissement des eaux usées de Métabetchouan (Métabetchouan)</t>
  </si>
  <si>
    <t>Métabetchouan--Lac-à-la-Croix</t>
  </si>
  <si>
    <t>Ouvrage municipal d'assainissement des eaux usées de Launay</t>
  </si>
  <si>
    <t>Launay</t>
  </si>
  <si>
    <t xml:space="preserve">Novembre </t>
  </si>
  <si>
    <t>Ouvrage municipal d'assainissement des eaux usées de Sainte-Sabine</t>
  </si>
  <si>
    <t>Sainte-Sabine</t>
  </si>
  <si>
    <t>Les Etchemins</t>
  </si>
  <si>
    <t>OMAEU de la Régie d'assainissement Rougemont-Saint-Césaire</t>
  </si>
  <si>
    <t>Rougemont</t>
  </si>
  <si>
    <t>Ouvrage municipal d'assainissement des eaux usées de Varennes</t>
  </si>
  <si>
    <t>Varennes</t>
  </si>
  <si>
    <t>Ouvrage municipal d'assainissement des eaux usées de Saint-Mathias-sur-Richelieu</t>
  </si>
  <si>
    <t>Saint-Mathias-sur-Richelieu</t>
  </si>
  <si>
    <t>Saint-Donat</t>
  </si>
  <si>
    <t>Ouvrage municipal d'assainissement des eaux usées de Saint-François-de-l'île-d'Orléans</t>
  </si>
  <si>
    <t>Saint-François-de-l'Île-d'Orléans</t>
  </si>
  <si>
    <t>L'Île-d'Orléans</t>
  </si>
  <si>
    <t>Ouvrage municipal d'assainissement des eaux usées de Trois-Rivières (Red Mill)</t>
  </si>
  <si>
    <t>Trois-Rivières</t>
  </si>
  <si>
    <t>Ville de Trois-Rivières</t>
  </si>
  <si>
    <t>Ouvrage municipal d'assainissement des eaux usées de Trois-Rivières (Sainte-Marthe)</t>
  </si>
  <si>
    <t>Ouvrage municipal d'assainissement des eaux usées d'Ange-Gardien</t>
  </si>
  <si>
    <t>Étangs aérés avec bassin complètement mélangé</t>
  </si>
  <si>
    <t>Ange-Gardien</t>
  </si>
  <si>
    <t>Ouvrage municipal d'assainissement des eaux usées de Dudswell</t>
  </si>
  <si>
    <t>Biotour</t>
  </si>
  <si>
    <t>Dudswell</t>
  </si>
  <si>
    <t xml:space="preserve">Décembre </t>
  </si>
  <si>
    <t>Ouvrage municipal d'assainissement des eaux usées de Lévis (Saint-Romuald)</t>
  </si>
  <si>
    <t>Ouvrage municipal d'assainissement des eaux usées de Notre-Dame-du-Portage</t>
  </si>
  <si>
    <t>Segflo et filtre Ecoflex</t>
  </si>
  <si>
    <t>Notre-Dame-du-Portage</t>
  </si>
  <si>
    <t>Ouvrage municipal d'assainissement des eaux usées de L'Isle-aux-Allumettes (Chapeau)</t>
  </si>
  <si>
    <t>L'Isle-aux-Allumettes</t>
  </si>
  <si>
    <t>Ouvrage municipal d'assainissement des eaux usées Sainte-Angèle-de-Monnoir (Dom. du Rêve)</t>
  </si>
  <si>
    <t>Sainte-Angèle-de-Monnoir</t>
  </si>
  <si>
    <t>Ouvrage municipal d'assainissement des eaux usées d'Angliers</t>
  </si>
  <si>
    <t>Laverlochère-Angliers</t>
  </si>
  <si>
    <t>Témiscamingue</t>
  </si>
  <si>
    <t>Ouvrage municipal d'assainissement des eaux usées de Saint-Denis-sur-Richelieu (Patriotes)</t>
  </si>
  <si>
    <t>Ouvrage municipal d'assainissement des eaux usées de Saint-Philippe (2008)</t>
  </si>
  <si>
    <t>Saint-Philippe</t>
  </si>
  <si>
    <t xml:space="preserve">Pompage avec la pompe à boue (machine) dans un lit sèche_x000D_
</t>
  </si>
  <si>
    <t>La Matanie</t>
  </si>
  <si>
    <t>Ouvrage municipal d'assainissement des eaux usées de L'Ascension</t>
  </si>
  <si>
    <t>L'Ascension</t>
  </si>
  <si>
    <t>OMAEU de la Régie de traitement des eaux usées de Deux-Montagnes</t>
  </si>
  <si>
    <t>Sainte-Marthe-sur-le-Lac</t>
  </si>
  <si>
    <t>Ouvrage municipal d'assainissement des eaux usées de Campbell's Bay</t>
  </si>
  <si>
    <t>Campbell's Bay</t>
  </si>
  <si>
    <t>Ouvrage municipal d'assainissement des eaux usées de l'Épiphanie (V)</t>
  </si>
  <si>
    <t>L'Épiphanie</t>
  </si>
  <si>
    <t>Ouvrage municipal d'assainissement des eaux usées de Saint-Herménégilde</t>
  </si>
  <si>
    <t>Saint-Herménégilde</t>
  </si>
  <si>
    <t>Coaticook</t>
  </si>
  <si>
    <t>déchets retirés 1 mètre cube</t>
  </si>
  <si>
    <t>Ouvrage municipal d'assainissement des eaux usées de Saint-Isidore-de-Clifton</t>
  </si>
  <si>
    <t>Saint-Isidore-de-Clifton</t>
  </si>
  <si>
    <t>Témiscouata</t>
  </si>
  <si>
    <t>Ouvrage municipal d'assainissement des eaux usées de Magog (Omerville)</t>
  </si>
  <si>
    <t>Ouvrage municipal d'assainissement des eaux usées de Saint-Tite-des-Caps</t>
  </si>
  <si>
    <t>Saint-Tite-des-Caps</t>
  </si>
  <si>
    <t>Avignon</t>
  </si>
  <si>
    <t>Rouyn-Noranda</t>
  </si>
  <si>
    <t>Ville de Rouyn-Noranda</t>
  </si>
  <si>
    <t>Ouvrage municipal d'assainissement des eaux usées de Baie-Saint-Paul (riv. du Gouffre)</t>
  </si>
  <si>
    <t>Baie-Saint-Paul</t>
  </si>
  <si>
    <t>Ouvrage municipal d'assainissement des eaux usées de Drummondville</t>
  </si>
  <si>
    <t>Drummondville</t>
  </si>
  <si>
    <t>Ouvrage municipal d'assainissement des eaux usées de Saint-Magloire</t>
  </si>
  <si>
    <t>Fossés à infiltration rapide</t>
  </si>
  <si>
    <t>Saint-Magloire</t>
  </si>
  <si>
    <t>Ouvrage municipal d'assainissement des eaux usées de Saint-Thuribe</t>
  </si>
  <si>
    <t>Saint-Thuribe</t>
  </si>
  <si>
    <t>Ouvrage municipal d'assainissement des eaux usées de Témiscouata-sur-le-Lac (N.-D.-du-Lac)</t>
  </si>
  <si>
    <t>Boues activées avec mesure de débit à l'effluent</t>
  </si>
  <si>
    <t>Témiscouata-sur-le-Lac</t>
  </si>
  <si>
    <t>Les deux fosses en amont du filtre à tourbe ont été vidangés par un camion vacuum.</t>
  </si>
  <si>
    <t>Déchets retirés 1 mètre cube</t>
  </si>
  <si>
    <t>Ouvrage municipal d'assainissement des eaux usées de Sainte-Apolline-de-Patton</t>
  </si>
  <si>
    <t>Sainte-Apolline-de-Patton</t>
  </si>
  <si>
    <t>Montmagny</t>
  </si>
  <si>
    <t>Ouvrage municipal d'assainissement des eaux usées de Saint-Lin-Laurentides</t>
  </si>
  <si>
    <t>Saint-Lin--Laurentides</t>
  </si>
  <si>
    <t>Ouvrage municipal d'assainissement des eaux usées de Lévis (Breakeyville)</t>
  </si>
  <si>
    <t>Ouvrage municipal d'assainissement des eaux usées de Lévis (station Desjardins)</t>
  </si>
  <si>
    <t>Ouvrage municipal d'assainissement des eaux usées de L'Anse-Saint-Jean</t>
  </si>
  <si>
    <t>L'Anse-Saint-Jean</t>
  </si>
  <si>
    <t>1 m3 dans un site autorisé</t>
  </si>
  <si>
    <t>Le Haut-Saint-Laurent</t>
  </si>
  <si>
    <t xml:space="preserve">Ouvrage municipal d'assainissement des eaux usées de Rouyn-Noranda (aéroport) </t>
  </si>
  <si>
    <t>bac a vidange</t>
  </si>
  <si>
    <t>Ouvrage municipal d'assainissement des eaux usées de Saint-Polycarpe</t>
  </si>
  <si>
    <t>Saint-Polycarpe</t>
  </si>
  <si>
    <t>Ouvrage municipal d'assainissement des eaux usées de Trois-Rivières métropolitain</t>
  </si>
  <si>
    <t>Ouvrage municipal d'assainissement des eaux usées de Rimouski (Secteur des Berges)</t>
  </si>
  <si>
    <t>320 litres site enfouissement</t>
  </si>
  <si>
    <t>Transporté hebdomadairement par un camion déchet au site d'enfouissement sanitaire de la MRC de Lotbinière, la quantité de boues évacuée est de .85 m3._x000D_
_x000D_
Nous avons un système de dégrillage fin pour le traitement des eaux usées.</t>
  </si>
  <si>
    <t>Ouvrage municipal d'assainissement des eaux usées de Carignan</t>
  </si>
  <si>
    <t>Carignan</t>
  </si>
  <si>
    <t>Ouvrage municipal d'assainissement des eaux usées de Sainte-Christine-d'Auvergne</t>
  </si>
  <si>
    <t>Sainte-Christine-d'Auvergne</t>
  </si>
  <si>
    <t>Étangs aérés et filtre</t>
  </si>
  <si>
    <t>Ouvrage municipal d'assainissement des eaux usées d'Alma</t>
  </si>
  <si>
    <t>Ouvrage municipal d'assainissement des eaux usées d'Adstock (Saint-Méthode)</t>
  </si>
  <si>
    <t>Ouvrage municipal d'assainissement des eaux usées de Tourville</t>
  </si>
  <si>
    <t>Tourville</t>
  </si>
  <si>
    <t>Ouvrage municipal d'assainissement des eaux usées de Saint-Roch-de-l'Achigan (commercial)</t>
  </si>
  <si>
    <t>Ouvrage municipal d'assainissement des eaux usées de Saint-Modeste</t>
  </si>
  <si>
    <t>Saint-Modeste</t>
  </si>
  <si>
    <t>Ouvrage municipal d'assainissement des eaux usées de Saint-Jérôme-Métropolitain</t>
  </si>
  <si>
    <t>Saint-Jérôme</t>
  </si>
  <si>
    <t>La Rivière-du-Nord</t>
  </si>
  <si>
    <t>Ouvrage municipal d'assainissement des eaux usées de Contrecoeur</t>
  </si>
  <si>
    <t>Contrecoeur</t>
  </si>
  <si>
    <t>OMAEU de la Régie d'assainissement des eaux Terrebonne-Mascouche</t>
  </si>
  <si>
    <t>Mascouche</t>
  </si>
  <si>
    <t>320 litres de rebus.</t>
  </si>
  <si>
    <t>0,5 m3 dans un lieux autorisé</t>
  </si>
  <si>
    <t>Transporté hebdomadairement par un camion déchet au site d'enfouissement sanitaire de la MRC de Lotbinière, la quantité de boues évacuée est de .80 m3._x000D_
_x000D_
Nous avons un système de dégrillage fin pour le traitement des eaux usées.</t>
  </si>
  <si>
    <t>Ouvrage municipal d'assainissement des eaux usées des Saints-Martyrs-Canadiens</t>
  </si>
  <si>
    <t>Saints-Martyrs-Canadiens</t>
  </si>
  <si>
    <t>Disposition des rebus dans le conteneur à déchets_x000D_
Quantité : 1.37 m3</t>
  </si>
  <si>
    <t>1 062 008 kg de MS de boues d'une siccité moyenne de 27.4% ont été disposées soit 492 690 kg de MS par incinération à la station d'épuration et 569 317kg de MS par épandage.</t>
  </si>
  <si>
    <t>Quantité de boues évacuée : 0.645 m³</t>
  </si>
  <si>
    <t>Disposition par camion benne. Lieu de disposition: RCI, Sainte-Sophie. Quantité de boues évacuées pour le mois: 472,3 m³. Siccité moyenne: 23,8%.</t>
  </si>
  <si>
    <t>1093.69 tm à 15.87% envoyées au compostage chez Gesterra à St-Rosaire</t>
  </si>
  <si>
    <t>Boues déshydratées par un pressoir rotatif. 45 m3 de boues ont été envoyées au LET de Gaspé avec une siccité moyenne de 29,34%.</t>
  </si>
  <si>
    <t>Système de presse a boues, lévacuation ce fait par la société ENVIROCONNEXION, vers le site d'enfouissement de LACHENAIE._x000D_
La quantité de Boues évacués pour le mois de Janvier est de 372.14 tonnes</t>
  </si>
  <si>
    <t>Déshydratation des boues par centrifugeuse._x000D_
Valorisation par Viridis Environnement._x000D_
Quantité totale mensuelle: 94.4 Tonnes métrique._x000D_
Siccité moyenne: 23,1 %</t>
  </si>
  <si>
    <t>Déshydratation des boues par pressoir rotatif dont la siccité moyenne est de 23.5% Transport par camion vers le champs (valorisation);195.83 T.M + Déshydratation des boues par pressoir rotatif dont la siccité moyenne est de 23.5% séché à 92% Transport par camion vers Unidindon (valorisation) 19.63 T.M</t>
  </si>
  <si>
    <t xml:space="preserve">nous avons disposé 119.6 tonnes de boues à la mine Jeffrey avec une siccité moyenne de 16.85% </t>
  </si>
  <si>
    <t xml:space="preserve">Les boues sont disposées par camion benne de 14M3 soit en valorisation ou au compostage du lundi au vendredi._x000D_
La siccité moyenne des boues déshydratées par un filtre à bande pour le mois de janvier est de13.9% et la quantité totale est 336 M3 traité. </t>
  </si>
  <si>
    <t>Disposition de 1190.2 TM de boues a 43% de siccité par la firme Viridis</t>
  </si>
  <si>
    <t>Vidange de boues de l'épaississeur  vers le lit de séchage. Volume estimé à 232 m3. Siccité non disponible.</t>
  </si>
  <si>
    <t>Centrifugation des boues du bassin d'emmagasinement du 03 janvier 2020 au 31 janvier 2020  de 61.93 tonnes à une siccité de  23 %. Déposé par camion benne de la compagnie West-management envoyé à la ferme du Ruisseau Mirabel.</t>
  </si>
  <si>
    <t>Déshydratations quotidienne par Centrifugeuse, disposition au site RC Miller pour  là  valorisation des boues, quantités disposées 73.69 tonnes métrique humides (THM), avec une siccités moyenne mensuelle de 25,0 %. Provenant de l'épaississeur.</t>
  </si>
  <si>
    <t>354,2 tonnes métriques de boue à 19,7% de siccité._x000D_
Valorisation des boues par Englobe (Mine BC1 SAL)</t>
  </si>
  <si>
    <t>Nous avons procédé au nettoyage des préfiltres de la fosse septique.  Nous en avons profité pour pomper une partie des boues (environ 3 m3) dans le premier et deuxième compartiment.  La vidange a eu lieu le 8 janvier 2020 par la compagnie Sanibert.</t>
  </si>
  <si>
    <t>La compagnie Sanibert a assumé la responsabilité de la disposition des boues.</t>
  </si>
  <si>
    <t>Valorisation agricole - Ferme L&amp; Y Toupin 300.05TM et Champ Alberton Ferme Muzzi 666.25TM</t>
  </si>
  <si>
    <t>valorisation agricole, 745 Rue Saint Louis Saint-Cyrille-de-Wendover, 32.32 tonnes métrique, moyenne de 22.4% siccité (boue biologique et septique), pressoir rotatif Fournier, janvier 2020.</t>
  </si>
  <si>
    <t>Disposition par enfouissement au site EBI, 51,46m3, siccité moyenne de 11,42%</t>
  </si>
  <si>
    <t>4125.71 tonnes de cendres ont été enfouies au LET de la station d'épuration</t>
  </si>
  <si>
    <t>92.58 tonnes de boues ont été acheminées sur la plateforme de compostage de la Ville de Lac-Mégantic à une siccité moyenne de 15,5%.</t>
  </si>
  <si>
    <t>Valorisation agricole chez M. Lauzon Rigaud 30. 155.93 m3 avec une siccité de 21.7%</t>
  </si>
  <si>
    <t xml:space="preserve">% SICCITÉ : 02 janvier 18.50%, 05 janvier 19.70%, 06 janvier 20.00%, 08 janvier 21.00%, 13 janvier 19.60%, 14 janvier 18.30%, 15 janvier 21.50%, 16 janvier 21.00%, 17 janvier 19.20%, 20 janvier 18.94%, 21 janvier 23.96%, 23 janvier 24.18%, 24 janvier 24.18%, 27 janvier 18.22%, 28 janvier 23.02%, 29 janvier 19.00% MOYENNE 20.64% _x000D_
_x000D_
QUANTITÉ BOUES ÉVACUÉES (T.M.) : (FERME DU RUISSEAU MIRABEL) 03 janvier 9.79 TM, 06 janvier 11.78 TM, 10 janvier 12.81 TM, 14 janvier 12.20 TM, 15 janvier 9.82 TM,20 janvier 11.36 TM, 23 janvier 12.03 TM, 27 janvier 12.57 TM : TM TOTAL : 92.36 TM _x000D_
_x000D_
_x000D_
</t>
  </si>
  <si>
    <t>Méthode: Compostage et valorisation agricole (agriculteur). Lieu Gazon Savard et champs agricole. Quantité: 197 T.M. et siccité de 14.2%</t>
  </si>
  <si>
    <t xml:space="preserve">L'entreprise Sanidro prend en charge la disposition des boues et transporte le tout directement à son usine._x000D_
La quantité de boues évacuée est de 0.94 m3 sur une période de 48 jours._x000D_
</t>
  </si>
  <si>
    <t xml:space="preserve">Lieu d'élimination pour l'enfouissement : Lachenaie pour 618,07 TM avec siccité moyenne de 31,0 %_x000D_
Déchets: dégrillée: 5,6 m3_x000D_
               dessablée: 3,4 m3_x000D_
</t>
  </si>
  <si>
    <t xml:space="preserve">Lieu d'élimination pour l'enfouissement : Lachenaie pour 886,35 TM avec siccité moyenne de 28,4%_x000D_
Déchets: dégrillée: 14,51 TM_x000D_
               dessablée: 15,42 TM_x000D_
Aide coagulant: AE440 : 2587 kg_x000D_
</t>
  </si>
  <si>
    <t>Entreposage des boues au champs et valorisation agricole. 572,85 TM à une siccité moyenne de 19,1%. Disposition au besoin chez Englobe. (compost du québec st henri)</t>
  </si>
  <si>
    <t>163.23 T.M. de boues déshydratées par la centrifugeuse à une siccité moyenne de 20.43 %  Les boues a été transportées pour être valorisées par Viridis . _x000D_
Déshydratation du 03 au 29 Janvier 2020_x000D_
.</t>
  </si>
  <si>
    <t xml:space="preserve">- Déchets retirés par les dégrilleurs : 62 m3. _x000D_
- Sable retiré par le ou les dessableurs : 54.87  tonnes. _x000D_
- Disposition de 775.17   tonnes de boues à  24.3 %  de siccité par Uteau valorisation _x000D_
- Disposition de 235.15   tonnes de granules à 95.92 % de siccité par Ralph M Lang Custom Inc. Shawville. </t>
  </si>
  <si>
    <t xml:space="preserve">Lieu d'élimination pour l'enfouissement : Lachenaie pour  571,7TM avec siccité moyenne de 26,7%_x000D_
Déchets: dégrillée: 14 m3_x000D_
               dessablée: 11,2 m3_x000D_
Aide coagulant: AE440 : 1000 kg_x000D_
</t>
  </si>
  <si>
    <t>Valorisation agricole , #projet 1123-3403-2013,    249.9 tm à 32.31 % siccité</t>
  </si>
  <si>
    <t>Méthode de disposition : Enfouissement Lieu de disposition : L.E.T. de la MRC de Charlevoix-Est Quantité de boues évacuée : environ 98 m3 (63.81 tonnes) provenant des bassins 1 et 2 Date d'opération du pressoir : 2-6-9-13-15-16-20-23-27-30. Siccité moyenne : 33.67% Bassin de boues 1 et 2.</t>
  </si>
  <si>
    <t>ON a valorisé 81.5 tonnes métriques  de boue pour le mois de janvier. On a disposé de la boue  au 1673 Rang Kempt , St_ Alexandre  Que . La siccité moyenne est de 17.7% On a aussi envoyé en enfouissement 1.4  mètres cubes de déchets de dessablage  et 0.9 mètres cubes de déchets de dégrillage.</t>
  </si>
  <si>
    <t xml:space="preserve">EBI, Saint-Thomas, 9.35 t.m. , siccité moyenne 14.2 % </t>
  </si>
  <si>
    <t>304620 kg de boue à une siccité moyenne de 18.3% valorisé par la firme "viridis"</t>
  </si>
  <si>
    <t>j ai faite vider la fosse a sable a l entrée de lusine et les rotofix que nous avons travailler dessus pour faire la mise a niveau de ceux ci</t>
  </si>
  <si>
    <t>j ai faite vider la fosse a sable a l entrée de lusine et les rotofix que nous avons travailler dessus pour faire la mise a niveau de ceux ci le vacuum truck a disposer des boues</t>
  </si>
  <si>
    <t>82060 Kg disposée chez Campor inc. avec une siccité de 11.3 %</t>
  </si>
  <si>
    <t>23+22,8+21,5+21,7+18,6+20,2+20,6 = 148,4 tonnes de boues déshydratées et enfouies par Viridis Environnement avec une siccité d'environ 17,3%.</t>
  </si>
  <si>
    <t>Valorisation de 351.7 tm de boue transportée</t>
  </si>
  <si>
    <t xml:space="preserve">Valorisation des boues_x000D_
qté: 1561.19 TM_x000D_
lieux: Fosse Stéphane Larochelle/structure, Luc Roy champ 6, Jean Philippe côté (ferme malaco inc.) 233,  Ferme Jémeau 7, Luc Carrière champ 1A, Fosse Denis Lebrun/ Structure, Ferme D. Girard inc. champ 4, _x000D_
_x000D_
Siccité:_x000D_
2	16,30	3	15,53	7	16,00	8	15,70	9	15,96	10	15,23   14	15,99	15	17,20   16	18,31	17	17,15	20	16,77	21	16,65	22	16,77	23	16,99	24	18,56   27	16,40	28	17,05	29	17,15	30	16,69   31	16,42	Moyenne mensuelle: 16,64																						_x000D_
</t>
  </si>
  <si>
    <t>Valorisation St-Chrysostome 128.78MH       DÉGRILLAGE 14 M3.</t>
  </si>
  <si>
    <t xml:space="preserve">Méthode: Camion citerne,_x000D_
Lieu: Chénéville,_x000D_
Quantité 1: 50 m3, Siccité 1: 7.2 %, Date 1: 15-01-2020,_x000D_
Bassin: Chambres de vannes en arrière de l'usine,_x000D_
Quantité 2: 32 m3, Siccité 2: 3.4 %, Date 2: 21-01-2020,_x000D_
Bassin: Bassin 2,_x000D_
Méthode: Vacuum._x000D_
</t>
  </si>
  <si>
    <t>Les boues sont pompées en continu à partir de notre décanteur primaire et de nos deux décanteurs secondaires pour être dirigées vers un cuvier de boues mixtes duquel sont extraites les boues à partir de quatre presses à vis.   La siccité moyenne mensuelle a été de 44,2%._x000D_
_x000D_
Les boues sont disposées de trois façons:_x000D_
1)  1530 tonnes ont été brûlées (cogen) à l'usine de Bromptonville_x000D_
2)  5886 tonnes ont été valorisées agricolement (fermes)_x000D_
3)  191 tonnes sont été revégétalisée à la Mine Jeffrey.</t>
  </si>
  <si>
    <t>Date de sortie des boues: 06-08-14-20-24-31 janvier. Quantité: 18,8-19,7-18,2-18,2-18.6-18,7 tonne. Siccité moyenne: 32,9%. Lieu de disposition: Gestion Juneau et Freres inc., Ferme JP, K7 inc structure</t>
  </si>
  <si>
    <t>1140 tonnes valorisée dans les champs</t>
  </si>
  <si>
    <t>109kg</t>
  </si>
  <si>
    <t>97.6 Tonnes à 23% de siccité moyen envoyé par camion dans une benne par Agrobiosol inc.</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</si>
  <si>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40927 m3  _x000D_
Siccité moyenne : 3.57%_x000D_
N.B. : Cette quantité comprend les boues des stations Est et Ouest combinées_x000D_
</t>
  </si>
  <si>
    <t>Sortie de boue le 24 octobre  2020, entreposer sur place, siccité de 13.63 % Ferme Dufort et Fils inc. 1278, rang Double Saint-Lin-Laurentides.</t>
  </si>
  <si>
    <t>Pour le mois de Janvier, nous avons disposée de la boue à tous les jours. La siccité moyenne de la boue est de 17.1%_x000D_
Nous avons disposé un total de 2459.93 tonne de boue en revalorisation agricole.</t>
  </si>
  <si>
    <t xml:space="preserve">Boues déshydratées. Quantité totale: 18.76 tonnes métriques. Siccité moyenne: 14.2%. _x000D_
Lieu d'élimination des boues: Viridis environnement ( 4.91 Tonnes)_x000D_
                                                Centre de transfert Vaudreuil (13.85 Tonnes) </t>
  </si>
  <si>
    <t>Les boues sont acheminer par voyage (N= 69) vers Gazon savard ,volume du mois est 908 m³ ,dune siccité de 12.9% traiter du lundi au vendredi par trois F A B ,deux dégrémont (à air) et un mabarex (hydraulique) .</t>
  </si>
  <si>
    <t>Les boues sont transportées par camion benne au site de résidu minier de la East-Sullivan. 305.5 m3 ont étés évacués durant le mois avec une siccité moyenne de 14.7.</t>
  </si>
  <si>
    <t>Disposition par enfouissement au Complexe Enviro Connexions LTÉE 3779 chemin des 40 arpents , Terrebonne QC J6V 9T6, 1623 m3 de boues avec une siccité moyenne de 22,57% par centrifugation , 2 digesteurs anaérobies du 1er au 31 janvier 2020, 16,98 Kg/T.M. de boues sèches</t>
  </si>
  <si>
    <t>Transport et disposition: Englobe et Les Composts du Québec inc._x000D_
Quantité: 112.39 t.m._x000D_
Siccité: 30.2%</t>
  </si>
  <si>
    <t>67 950 kg de boues d'une siccité moyenne de 15,1% sont envoyées en valorisation dans la Municipalité de Saint-Alexandre.</t>
  </si>
  <si>
    <t xml:space="preserve">Les boues de Vaudreuil-Dorion ont été deshydratées par tambour rotatif suivi de centrifugeuse. Les boues ont été valorisées par Viridis Environnement . le volume total produit pour le mois de janvier est de 524,88 tonnes humides à une siccité moyenne de 19,7 % . Un volume de 454,16 T. est allé chez Les Gazons St-Julie Ltée Ch.#24 et 70,72 T. sont allés chez Les Fermes Lebel inc. Structure . </t>
  </si>
  <si>
    <t xml:space="preserve">Déchets retirés 1 mètre cube_x000D_
</t>
  </si>
  <si>
    <t>Le 23 janvier, 18,6 m3 de boues ont été pompés par camion vacuum et acheminés au site de disposition de St-Cyrille-de-Wendover.</t>
  </si>
  <si>
    <t>Transporté hebdomadairement par un camion déchet au site d'enfouissement sanitaire de la MRC de Lotbinière, la quantité de boues évacuée est de 0,90 m3._x000D_
_x000D_
Nous avons un système de dégrillage fin pour le traitement des eaux usées.</t>
  </si>
  <si>
    <t>Élimination des boues à la station d'épuration de Sherbrooke, volume total de 252 m3 avec une siccité de 4.7%.</t>
  </si>
  <si>
    <t>0,5 m3 dans un lieux autorisés</t>
  </si>
  <si>
    <t>disposition des rebus dans le conteneur à déchets_x000D_
Quantité: 1.64 m3</t>
  </si>
  <si>
    <t>Il n'a pas été possible d'indiquer la quantité de boues déshydratées disposées pour l'épandage puisque les bons de pesées n'étaient pas disponibles au moment de soumettre le rapport mensuel la première fois. Il a été ensuite déterminé qu'un total de 1 037 369 kg de MS de boues déshydratées d'une siccité de moyenne de 27.1% a été disposé soit 499 647 kg de MS pour incinération à la station d'épuration et 537 722 kg de MS pour épandage par la firme JMV Environnement. Il est à noter que les quantités ont été revues en comparaison de ce qui a été indiqué dans le rapport mensuel de mars 2020.</t>
  </si>
  <si>
    <t>Déshydratation des boues par pressoir rotatif dont la siccité moyenne est de 24.5% Transport par camion vers le champs (valorisation);373 T.M</t>
  </si>
  <si>
    <t>Vidange des boues de l'épaississeur vers le lit de séchage. Volume estimé à 45 m3. Siccité non disponible.</t>
  </si>
  <si>
    <t>Quantité de boues évacuée : 0.660 m³</t>
  </si>
  <si>
    <t xml:space="preserve">L'entreprise Sanidro prend en charge la disposition des boues et transporte le tout directement à son usine._x000D_
La quantité de boues évacuée est de 0.35 m3 sur une période de 17 jours._x000D_
</t>
  </si>
  <si>
    <t>Les boues sont transportées par camion benne au site de résidu minier de la East-Sullivan. 175.6 m3 ont étés disposés avec une siccité moyenne de 14.0%</t>
  </si>
  <si>
    <t>218330 kg de boues à une siccité moyenne de  18.52% valorisé par la firme  "viridis"</t>
  </si>
  <si>
    <t>Transport et disposition: Englobe, Les Composts du Québec inc._x000D_
Disposition: 122.72 t.m._x000D_
Siccité: 30.1%</t>
  </si>
  <si>
    <t>Valorisation à St-Chrysostome 129.87 MH</t>
  </si>
  <si>
    <t>Boues déshydratées. Quantité totale: 11.94 tonnes métriques. Siccité moyenne: 14.1%. Lieu d'élimination des boues: Centre de transfert Vaudreuil</t>
  </si>
  <si>
    <t>Les boues de la stations de Vaudreuil-Dorion ont été déshydratées par tambour rotatifs suivi de centrifugeuse. Les boues ont été par la suite valorisées par Viridis Environnement pour un tonnage total de 506,58 Tonnes humides à une siccité moyenne de 19,1%. 73,72 T. sont allés au Les Fermes Lebec Inc. ; 251,55 T. sont allés chez Les Gazons Ste-Julie Ltée site les Côteaux Ch#24 et 181,31 t. chez La Ferme Georges Quane enr. site #3</t>
  </si>
  <si>
    <t>Par filter a bande_x000D_
Envoyer a barnston_x000D_
18 fev 5.8tm 15.2%_x000D_
25 fev 5.9tm 15.2%</t>
  </si>
  <si>
    <t>174.29 T.M. de boues déshydratées par la centrifugeuse à une siccité moyenne de 20.32 % Les boues a été transportées pour être valorisées par Viridis . Déshydratation du 03 au 27 Février 2020 .</t>
  </si>
  <si>
    <t>Du 01 au 29 février 2020, les boues acheminées au bassin d'extraction, sont centrifugées à une siccité de 23% cumulant 18,84 tonnes ont été disposé par Viridis environnement à la ferme Perth inc.</t>
  </si>
  <si>
    <t>Méthode de disposition : Enfouissement Lieu de disposition : L.E.T. de la MRC de Charlevoix-Est Quantité de boues évacuée : environ 79 m3 (50.71 tonnes) provenant des bassins 1 et 2 Date d'opération du pressoir : 3-6-10-13-17-20-24-26. Siccité moyenne : 37.625% Bassin de boues 1 et 2.</t>
  </si>
  <si>
    <t xml:space="preserve">Lieu d'élimination pour l'enfouissement : Lachenaie pour 446,8 TM avec siccité moyenne de 26,7%_x000D_
Déchets: dégrillée: 13,8 m3_x000D_
               dessablée: 7,2 m3_x000D_
Aide coagulant: AE440 : 775 kg_x000D_
</t>
  </si>
  <si>
    <t>77,25 tonnes de boues ont été acheminées sur la plateforme de compostage à une siccité moyenne de 16,0%</t>
  </si>
  <si>
    <t xml:space="preserve">On a disposé de 97.12 tonne métriques de boues en valorisation  au mois de février. Les boues avaient une siccité moyenne de 17.86%.  7.92 tonnes métriques a Henyville sur la ferme de D Choquette au champ 16  774 route 133 . 89.2 tonnes métriques au 1673 rang Kempt  St-Alexandre,On a disposée en enfouissement au 23 rue Gagnon St_Nycéphore de 1.4 mètres cubes de déchets de dessablages et 0.9 mètres cubes de déchets de dégrillages </t>
  </si>
  <si>
    <t>Boues déshydratées par un pressoir rotatif. 50,5 m3 de boues ont été envoyées au LET de Gaspé avec une siccité moyenne de 28,02%.</t>
  </si>
  <si>
    <t>2868.09 tonnes de cendres ont été enfouies au LET de la station d'épuration et 64.56 tonnes de granules ont été valorisées</t>
  </si>
  <si>
    <t>Valorisation de 337.1 tm de boue transportée à 20%  de siccité</t>
  </si>
  <si>
    <t>Disposition par camions bennes. Lieu de disposition RCI Ste-Sophie jusqu'au 24 février. Disposé à cet endroit: Volume 333.3 m3 À partir du 25 février chez Agrobiosol de St-Chrysostome. Volume disposé à cet endroit: 80.6 m3 pout un total de 413.9 m3. La siccité moyenne était de 23.6%.</t>
  </si>
  <si>
    <t>44420 Kg de boues disposé chez Campor inc. avec une siccité de 11.37%</t>
  </si>
  <si>
    <t>1092.71 tm à 15.9% de siccité envoyées au site de compostage de Gesterra à St-Rosaire</t>
  </si>
  <si>
    <t>Valorisation agricole #projet 1123-3403-2013,  279.3 tm, à 31.69 % siccité</t>
  </si>
  <si>
    <t xml:space="preserve">Lieu d'élimination pour l'enfouissement : Lachenaie pour 503,1 TM avec siccité moyenne de 28,8 %_x000D_
Déchets: dégrillée: 3,8 m3_x000D_
               dessablée: 2,7 m3_x000D_
_x000D_
</t>
  </si>
  <si>
    <t xml:space="preserve">% SICCITÉ : 01 février 17.10%, 04 février 19.00%, 05 février 22.00%, 10 février 19.00%, 11 février 18.50%, 12 février 17.00%, 13 février 26.10%, 14 février 17.70%, 17 février 21.26%, 17 février 19.78%, 20 février 21.40%, 22 février 18.30%, 23 février 19.30%, 24 février 22.48%, 26 février 25.28  MOYENNE 20.32% _x000D_
_x000D_
_x000D_
QUANTITÉ BOUES ÉVACUÉES (T.M.) : (FERME DU RUISSEAU MIRABEL) 03 février 10.64 TM, 06 février 9.38  TM, 11 février 11.55 TM, 11 février 10.65 TM, 17 février 9.06 TM,21 février 12.07 TM : TM TOTAL : 63.35 TM </t>
  </si>
  <si>
    <t xml:space="preserve">Déchets retirés par les dégrilleurs: 55  m3. _x000D_
Sable retiré par le ou les dessableurs :  37,52 tonnes. _x000D_
Disposition de  222,59  tonnes de boues à 25,16  % de siccité par Uteau Valorisation._x000D_
Disposition de   221,91 tonnes de granules à  96,14  % de siccité par Ralph M Lang Custom.inc. Shawville. </t>
  </si>
  <si>
    <t>Déshydratations quotidienne par Centrifugeuse, disposition à la ferme Pert Inc. champs # 7pour là de valorisation des boues, quantités disposées 77,48 tonnes métrique humides (THM), avec une siccités moyenne mensuelle de 24,2 %. Provenant de l'épaississeur.</t>
  </si>
  <si>
    <t xml:space="preserve">Lieu d'élimination pour l'enfouissement : Lachenaie pour  411,0 TM avec siccité moyenne de 30,3%_x000D_
Déchets: dégrillée: 18,04 TM_x000D_
               dessablée: 13,41 TM_x000D_
Aide coagulant: AE440 : 2475 kg_x000D_
</t>
  </si>
  <si>
    <t>EBI, à Saint-Thomas, 27 t.m., 14.7% de siccité,</t>
  </si>
  <si>
    <t>Les boues sont envoyées en valorisation ou au compostage par camion benne de 14M3 du lundi au vendredi._x000D_
Les boues sont déshydratées par un filtre à bande et la siccité moyenne pour février est de 14,4%_x000D_
La quantité total de boues évacuées pour février est de 421 M3</t>
  </si>
  <si>
    <t xml:space="preserve">valorisation des boues_x000D_
lieux: Ferme D. Girard inc. (champ 4), Ferme Mijane s.e.n.c. (L9), Fosse Denis Lebrun (structure), François Gagnon (L,'avenir 7), Ferme Desrosiers Enr. (B1 ent), Mario Vaillancourt #1 (structure)_x000D_
1630,07 TM de boues_x000D_
siccité des boues:_x000D_
3	15,70	4	16,03	5	16,09	6	16,15	7	15,29	10	16,62	11	15,92	12	15,80	13	16,03	14	15,27     17  15,20	18	15,87          19	15,10	20	16,30	21	15,92    24	15,52	25	15,15	26	15,40	27	16,18	28	16,52     Moyenne mensuelle:	    15,80																						_x000D_
</t>
  </si>
  <si>
    <t>Disposition par enfouissement au site EBI, 28,81 m3 évacués, siccité moyenne de 11,44%</t>
  </si>
  <si>
    <t>Date de sortie: 04-11-14-21-26 Février. Quantité: 17.8-21.1-20.1-18.8-19.2 tonne. Siccité moyenne: 31%. Lieu de disposition: Ferme J-P K7 Inc Structure. Gestion Juno et freres inc.</t>
  </si>
  <si>
    <t>Le 28 février, 18,79 m3 de boues ont été pompés par camion vacuum et acheminés au site de disposition de St-Cyrille-de-Wendover.</t>
  </si>
  <si>
    <t>23+21.7+20.6+25.5+18.6+20.3+21=150.7 tonnes de boues déshydratées et enfouies par Viridis Environnement avec une siccité d'environ 17.1%.</t>
  </si>
  <si>
    <t>1194 tonnes valorisées</t>
  </si>
  <si>
    <t>Valorisation agricole, 745 rue St-Louis, St-Cyrille de Wendover, 16,41 tonnes métriques, siccité moyenne de 23,0% (boue biologique et septique), pressoir rotatif Fournier, 1er fév. au 29 fév. 2020, par camion dompeur.</t>
  </si>
  <si>
    <t>77.92 Tone  de boue à 21% envoyé dans une benne par camion.</t>
  </si>
  <si>
    <t xml:space="preserve">Méthode: Camion citerne,_x000D_
Lieu: Chénéville,_x000D_
Quantité 1: 10 m3,                    Quantité 2: 43 m3                  Quantité 3: 11 m3_x000D_
Siccité 1: 3.0 %,                         Siccité 2: 1.4 %                       Siccité 3: 3.2 %_x000D_
Bassin: #2,                                 Bassin: #2                               Bassin: #1_x000D_
Date 1: 04-02-2020,                  Date 2: 025-02-2020              Date 3: 25-02-2020 _x000D_
Méthode utilisée: Vacuum._x000D_
_x000D_
</t>
  </si>
  <si>
    <t>Entreposage des boues au champs et valorisation agricole. 461,87 TM à une siccité moyenne de 19,3%. Disposition au besoin chez Englobe (Compost du Québec à St-Henri)</t>
  </si>
  <si>
    <t>Système de presse a boues, l??évacuation ce fait par la société ENVIROCONNEXION, vers le site d'enfouissement de LACHENAIE._x000D_
La quantité de Boues évacués pour le mois de FÉVRIER est de 373.57 tonnes</t>
  </si>
  <si>
    <t>Les boues sont pompées en continu de notre décanteur primaire et de nos deux décanteurs secondaires, elles sont acheminées vers un cuvier de boues mixtes duquel elles sont mélangées pour être de nouveau dirigées vers 4 presses à vis.  La siccité moyenne mensuelle obtenue pour le mois de février a été de 43.1%._x000D_
Les boues ont été disposées de deux façons:_x000D_
740 tonnes ont été brûlées en cogénération à l'usine de Bromptonville_x000D_
6401 tonnes ont été revalorisées agricolement</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</si>
  <si>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38522 m3  _x000D_
Siccité moyenne : 3.7%_x000D_
N.B. : Cette quantité comprend les boues des stations Est et Ouest combinées_x000D_
</t>
  </si>
  <si>
    <t xml:space="preserve">224,5 tonnes métriques de boue à 22,2% de siccité. Valorisation des boues par Englobe (Mine BC1 SAL)_x000D_
_x000D_
</t>
  </si>
  <si>
    <t xml:space="preserve">le 11-02 vidange du bassin des boues par camion citerne de vacuum drummond expédié chez CTBM à St-Pie. 65 m3 </t>
  </si>
  <si>
    <t xml:space="preserve">La siccité moyenne de la boue pour le mois de Février est de 17%_x000D_
Nous avons disposé de la boue à tous les jours pour ce mois. La quantité total de la boue disposé est de 2270.23 Tonnes._x000D_
En Février, la totalité de la boue à été disposé en revalorisation agricole. </t>
  </si>
  <si>
    <t>Déshydratation des boues par centrifugeuse._x000D_
Valorisation par Viridis Environnement._x000D_
Quantité totale mensuelle: 112.7 Tonnes métrique_x000D_
Siccité moyenne: 23.1 %</t>
  </si>
  <si>
    <t>Transporté hebdomadairement par un camion déchet au site d'enfouissement sanitaire de la MRC de Lotbinière, la quantité de boues évacuée est de .60 m3._x000D_
_x000D_
Nous avons un système de dégrillage fin pour le traitement des eaux usées.</t>
  </si>
  <si>
    <t>73.8kg</t>
  </si>
  <si>
    <t>Disposition de 1231.1 TM de boue à 41% de siccité de moyenne par la firme Viridis</t>
  </si>
  <si>
    <t xml:space="preserve">disposition des boues par enfouissement au complexe Enviro connexions 3779 chemin des 40-arpents Terrebonne j6v 9t6 , 1481 m3 de boues déshydratées , siccité moyenne de 22,45% , boues digérées par 2 digesteur anaérobie du 1/2/2020 au 29/2/2020 par centrifugations. </t>
  </si>
  <si>
    <t xml:space="preserve">Pour les boues: 264,39 TM :  Agrobiosol - Plate-forme 358,67 TM :  Chemin Alberton 274,00 TM :  Ferme L &amp; Y Toupin (Coulée du Trèfle)_x000D_
Total : 897,06 TM_x000D_
</t>
  </si>
  <si>
    <t>49 150 kg de boues d'une siccité moyenne de 15,0% sont envoyées en valorisation dans la Municipalité de Saint-Alexandre.</t>
  </si>
  <si>
    <t>Les boues sont acheminer par voyage (N= 67) vers Gazon savard ,volume du mois est 814 m³ ,dune siccité de 13.3 % traiter du lundi au vendredi par trois F A B ,deux dégrémont (à air) et un mabarex (hydraulique) .</t>
  </si>
  <si>
    <t xml:space="preserve">Déshydratation et valorisation. 137.03 m3 à 22.1% de siccité. Chez M Lauzon Rigaud 30._x000D_
</t>
  </si>
  <si>
    <t>Méthode: Compostage et valorisation agricole (agriculteur). Lieu Gazon Savard et champs agricole. _x000D_
Quantité: 964 T.M. et siccité de 15%</t>
  </si>
  <si>
    <t xml:space="preserve">Nous avons disposé de 101.2 tonnes de boues à la mine Jeffrey avec une siccité moyenne de 18.4 %  </t>
  </si>
  <si>
    <t>Boues éliminées à la station d'épuration de Sherbrooke d'un volume total de 204 m3 avec une siccité de  5.07 %</t>
  </si>
  <si>
    <t>entreposage dans une fosse externe de la ferme G.D.G. Goyette de plus ou moins 381 m3 de boues le 26 février 2020.</t>
  </si>
  <si>
    <t>disposition des rebus dans  le conteneur a déchets_x000D_
Quantité : 1.29 m3</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</si>
  <si>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43685 m3  _x000D_
Siccité moyenne : 4.1%_x000D_
N.B. : Cette quantité comprend les boues des stations Est et Ouest combinées_x000D_
</t>
  </si>
  <si>
    <t xml:space="preserve">- Déchets retirés par les dégrilleurs : 54 m3 _x000D_
- Sable retiré par le ou les dessableurs : 89.14 tonnes _x000D_
- Disposition de 6868.3 tonnes de boues à 25.63% de siccité par uteau valorisation _x000D_
- Disposition de 212.53 tonnes de granules à 96.59 % de siccité par Ralph M Lang Custom inc. Shawville. </t>
  </si>
  <si>
    <t>Valorisation de 423 tm de boues transportées À 21.4 % de siccité.</t>
  </si>
  <si>
    <t xml:space="preserve">Les boues sont déshydratées par un filtre à bande du lundi au vendredi dans des camions bennes de 14M3 en valorisation ou au compostage._x000D_
La quantité de boue évacuée pour le mois de mars est de 329M3 a siccité moyenne de 16.2%_x000D_
</t>
  </si>
  <si>
    <t>Déshydratation des boues par centrifugeuse._x000D_
Valorisation par Viridis Environnement._x000D_
Quantité totale mensuelle:  118.4  Tonnes métrique_x000D_
Siccité moyenne: 24.8 %</t>
  </si>
  <si>
    <t>Du 01 au 31 Mars 2020, les boues acheminées au bassin d'extraction sont centrifugées à une siccité de 24%, cumulant 94.54 tonnes qui ont été disposées par Viridis environnement à la ferme du Ruisseau Mirabel (24.62 tonnes) et à la ferme Perth inc. (69.92 tonnes).</t>
  </si>
  <si>
    <t>Méthode : Compostage et valorisation agricole (agriculteurs). Lieu Gazon Savard et champs agricoles. Quantité : 1126 T.M. et siccité de 15,7%.</t>
  </si>
  <si>
    <t>Entreposage des boues au champs et valorisation agricole. 516,4 TM à une siccité moyenne de 19,1%. Disposition au besoin chez Englobe (Compost du Québec à St-Henri)</t>
  </si>
  <si>
    <t>Pour le mois de Mars  on a valorisé 80.93 tonnes métriques de boues d'une siccité moyenne de 17.42 % .Le site de disposition de la boue est la ferme Guay au 198 Chemin 4 e concession Noyan Qc . On a disposé de 1.4 m3  de déchets de dégrillage et 1.6 m3 de sables du dessableur au 23 rue Gagnon St-Nycéphore</t>
  </si>
  <si>
    <t>Valorisation agricole, 745 rue St-Louis, St-Cyrille de Wendover, 24.84 tonnes métriques, siccité moyenne de 23,6% (boue biologique et septique), pressoir rotatif Fournier, 1er mars au 31 mars 2020, par camion dompeur.</t>
  </si>
  <si>
    <t>822 tonnes _x000D_
106 tonnes au compostage_x000D_
716 tonnes à la valorisation agricole</t>
  </si>
  <si>
    <t>217700 kg de boue à une siccité moyenne de 20.45% valorisé par la firme "viridis"</t>
  </si>
  <si>
    <t>Date de sortie des boues: 03-05-11-13-18-23-26-31 mars. Quantité: 19.8-15.3-16.9-15.1-15.8-16.8-16.2-14.8 tonne. Siccité moyenne: 32%. Lieu de disposition: Gestion Juno et frères inc.</t>
  </si>
  <si>
    <t>Déshydratations quotidienne par Centrifugeuse, disposition ferme Perth Inc. et aussi à la ferme Ruisseau de Mirabel pour là valorisation des boues, quantités disposées 121,21 tonnes métrique humides (THM), avec une siccités moyenne mensuelle de 25 %. Provenant de l'épaississeur.</t>
  </si>
  <si>
    <t>EBI, Saint-Thomas, 45.22 t.m. , 14.8 % de siccité moyenne</t>
  </si>
  <si>
    <t>Boues déshydratées par un pressoir rotatif. 54,5m3 de boues ont été envoyées au LET de Gaspé avec une siccité moyenne de 28,07%.</t>
  </si>
  <si>
    <t>Pour le mois de Mars, nous avons disposée de la boue à tous les jours. La siccité moyenne de la boue est de 17.4%_x000D_
Nous avons disposée 887 tonnes en revalorisation agricole et 417 tonnes sur un site minier. Pour un total de 1304 Tonnes disposées au mois de Mars.</t>
  </si>
  <si>
    <t xml:space="preserve">Méthode de disposition: Camion Citerne,_x000D_
Lieu: Chénéville,_x000D_
Quantité 1: 31 m3,                                                          Quantité 2: 16 %,_x000D_
Siccité 1: 9.9 %,                                                               Siccité 2: 2.5 %,_x000D_
Bassin: Chambre de vannes de fond-arrière,                 Bassin: No 2,_x000D_
Date 1: 06-03-2020,                                                       Date 2: 17-03-2020._x000D_
Méthode utilisée: Vacuum_x000D_
</t>
  </si>
  <si>
    <t xml:space="preserve">Système de presse a boues, l'évacuation ce fait par la société ENVIROCONNEXION, vers le site d'enfouissement de LACHENAIE._x000D_
La quantité de Boues évacués pour le mois de Mars est de  299.25 tonnes_x000D_
</t>
  </si>
  <si>
    <t>Valorisation agricole, Saint-Edmond, 363,7 TM à 35%</t>
  </si>
  <si>
    <t xml:space="preserve">Boues déshydratées. Quantité: 14.18 tonnes métriques. Siccité moyenne: 13.9 %. Lieu d'élimination des boues: Centre de transfert Vaudreuil-Dorion_x000D_
_x000D_
</t>
  </si>
  <si>
    <t>18 mars - Vidange de la trappes à graisse en amont du poste de pompage Principale par l'entreprise vide-tout (un camion vacuum)</t>
  </si>
  <si>
    <t>Nous avons vidé presque l'entièreté de l'eau contenue dans la fosse (mélange écume, eau, boue).   Au total, environ 90 m3 d'eau usée a été pompée.</t>
  </si>
  <si>
    <t>L'entièreté des eaux usées ont été acheminé à la station d'épuration de Valleyfield.</t>
  </si>
  <si>
    <t>51 250 kg de boues d'une siccité moyenne de 15,3% sont envoyées en valorisation dans la Municipalité de Saint-Alexandre.</t>
  </si>
  <si>
    <t xml:space="preserve">Valorisation aux endroits suivants ; Vaillancourt, Mario (#1)/Structure, Fosse #2/Structure,        Ferme Desrosiers enr. B1 (ent), 11 (ent),      Ferme Thérox inc. 13O,_x000D_
Ferme Coureurs des bois L08 (ent), AC1 (ent),        Fréchette Rioux, Andy 17,     Ferme du Ruisseau Mirabel/Structure,        Ferme Réal et Renée Ryan S.E.N.C./Structure_x000D_
Grégoire, René 3,          Mine Black Lake (phase 3)._x000D_
 Siccité ; 2 mars  16,97%   3 mars  16,81%	4 mars  17,64%    5 mars   17,61%	 6 mars	15,97%	7 mars	18,37%	9 mars	17,50%	10 mars	17,20%	11 mars 17,19%12 mars	17,45%	13 mars	16,06%	16 mars	16,51%	17 mars	16,87%	18 mars	17,03%	19 mars	16,99%	20 mars	16,67%	23 mars	16,76%	24 mars	16,52%25 mars	16,19%	26 mars	16,39%	27 mars	16,82%	30 mars	16,94%     31 mars	16,03%    	Moyenne mensuelle: 16,89%																						_x000D_
</t>
  </si>
  <si>
    <t>19,6+21,7+22,3+17,9+18,8+16+19,6+18,81+6,6=171,3 tonnes de boues déshydratées et enfouies par Viridis Environnement avec une siccité d'environ 19,7%.</t>
  </si>
  <si>
    <t>Élimination des boues à l'usine d'épuration de Sherbrooke, volume total de 276 m3 avec une siccité de 4.2%.</t>
  </si>
  <si>
    <t xml:space="preserve">Lieu d'élimination pour l'enfouissement : Lachenaie pour 1857,6 TM avec siccité moyenne de 31,2%_x000D_
Déchets: dégrillée: 16,86 TM_x000D_
               dessablée: 8,12 TM_x000D_
Aide coagulant: AE440 : 4838 kg	 _x000D_
</t>
  </si>
  <si>
    <t>Méthode de disposition : Enfouissement Lieu de disposition : L.E.T. de la MRC de Charlevoix-Est Quantité de boues évacuée : environ 107 m3 (72.08 tonnes) provenant des bassins 1 et 2 Date d'opération du pressoir : 2-4-9-10-11-12-17-19-23-26-30. Siccité moyenne : 37.18% Bassin de boues 1 et 2.</t>
  </si>
  <si>
    <t xml:space="preserve">Lieu d'élimination pour l'enfouissement : Lachenaie pour  509,4 TM avec siccité moyenne de 27,4%_x000D_
Déchets: dégrillée: 18,5 m3_x000D_
               dessablée: 11,2 m3_x000D_
Aide coagulant: AE440 : 1175 kg_x000D_
</t>
  </si>
  <si>
    <t xml:space="preserve">Pour le mois de mars 2020, 1 191 846 kg de MS de boues déshydratée d'une siccité de 27.6% moyenne de ont été disposées dont 522 238 kg de MES pour incinération à la station d'épuration et 669608 kg de MS pour valorisation par épandage par la firme JMV Environnement._x000D_
En février 2020, un total de 1 037 837 kg de MS de boues déshydratées d'une siccité moyenne de 27.1% ont été disposées dont 500 116 kg MS pour incinération à la station d'épuration et 537 722 pour épandage par JMV Environnement._x000D_
_x000D_
Puisque les quantités de boues disposées pour épandage n'étaient pas disponibles au moment de transmettre le rapport mensuel de février 2020, elles sont indiquées dans le présent rapport. </t>
  </si>
  <si>
    <t>82,14 tonnes de boues ont été acheminées sur la plateforme de compostage de la Ville de Lac-Mégantic à un siccité moyenne de 16,6%.</t>
  </si>
  <si>
    <t>Agrobiosol: 79.06 Tonnes à une siccité moyen de 21% envoyé dans une benne par camion.</t>
  </si>
  <si>
    <t>Le 31 mars 2020, nous avons vidé la fosse septique à l'aide d'un camion écureur. Le début et la fin de la vidange ont été effectués le même jour. Nous avons vidangé 6.146 m3 de boue.</t>
  </si>
  <si>
    <t>Le 31 mars 2020, nous avons vidangé 6.146 m3 de boue à laide dun camion écureur.  La boue a été disposé dans l'étang 1 des installations de Rouyn-Noranda. Le début et la fin de la vidange ont été effectués le même jour.</t>
  </si>
  <si>
    <t xml:space="preserve">Valorisation agricole tout le mois   - Total : 849,6 TM  Agrobiosol : 793 TM Plate forme  + Ferme Lucie Toupin Coteau des trèffles : 27,9 TM  +_x000D_
Champs Alberton Ferme Muzzi Jeuris St-Bernard de Lacolle 28,7 TM_x000D_
</t>
  </si>
  <si>
    <t>Déshydratation des boues par pressoir rotatif dont la siccité moyenne est de 26.5% Transport par camion vers le champs (valorisation);250.41 T.M</t>
  </si>
  <si>
    <t xml:space="preserve">Lieu d'élimination pour l'enfouissement : Lachenaie pour 572,1 TM avec siccité moyenne de 27,4 %_x000D_
Déchets: dégrillée: 5,8 m3_x000D_
               dessablée: 4,1 m3_x000D_
</t>
  </si>
  <si>
    <t>Nous avons revaloriser 92.0 tonnes de boues avec une siccité moyenne de 20.3% a la mine Jeffrey.</t>
  </si>
  <si>
    <t>320 litres de rebus au site enfouissement</t>
  </si>
  <si>
    <t>Disposition de 1248.2 TM de boue à 43% de siccité par la firme Viridis</t>
  </si>
  <si>
    <t>Les boues sont pompées en continu de notre décanteur primaire et de nos deux décanteurs secondaire pour être dirigées vers un cuvier de boues mixtes duquel elles sont extraites via 4 presses à vis.  La siccité moyenne mensuelle pour le mois de mars était de 40.05%._x000D_
Les boues ont été disposées de trois façons:_x000D_
2320 tonnes ont été envoyées en cogénération à l'usine de Bromptonville_x000D_
1430 tonnes ont été valorisées agricolement_x000D_
4255 tonnes ont été revégétalisées à la Mine Jeffrey</t>
  </si>
  <si>
    <t>Vidange du décanteur primaire le 16 mars 2020._x000D_
Vidange par camion vaccum de Enviro5_x000D_
Disposition chez CTBMà St-Pie_x000D_
Siccité: 7.4_x000D_
Volume: 19 390 Kg</t>
  </si>
  <si>
    <t>Boues valorisées et disposées aux lieux suivants :  Néo M. Lauzon, Rigaud 30 et M.Séguin, St-Rédempteur M6.             _x000D_
129.41 tonnes de boues évacuée avec une siccité moyenne de 24,2% et déshydratées par électro-déshydratation.</t>
  </si>
  <si>
    <t>Valorisation à St-Chrysostome 117.99MH</t>
  </si>
  <si>
    <t xml:space="preserve">Valorisation, Agrobiosol St-Chrysostome, 427 m3, Siccité moyenne 24.4% </t>
  </si>
  <si>
    <t>1023.06 tm envoyées au compostage au site de Gesterra à St-Rosaire</t>
  </si>
  <si>
    <t>Les boues sont acheminer par voyage (N=76 ) vers Gazon savard ,volume du mois est 960 m³ ,dune siccité de 13.6 % traiter du lundi au vendredi par trois F A B ,deux dégrémont (à air) et un mabarex (hydraulique) .</t>
  </si>
  <si>
    <t>Les boues sont transportées par camion benne au site de résidu minier de la East-Sullivan. 389.5 m3 avec une siccité moyenne de 14%.</t>
  </si>
  <si>
    <t>62000 Kg disposées chez Campor avec une siccité moyenne de 10.43%</t>
  </si>
  <si>
    <t>Les boues de Vaudreuil-Dorion ont été déshydratées par tambours rotatifs suivi de centrifugeuse , le tonnage du mois de mars est de 536,37 tonnes humides à une siccité moyenne de 20,6 % . Les boues ont été valorisées par Viridis environnement et ont été disposées pour 479,1 tonnes chez les Fermes Lebec Inc. et 57,27 tonnes chez la ferme Quane enr.</t>
  </si>
  <si>
    <t xml:space="preserve">Quantité de boues évacuée : 0.650 m³_x000D_
</t>
  </si>
  <si>
    <t>vidange par enviro5 _x000D_
vacuum _x000D_
le 23 mars 2020</t>
  </si>
  <si>
    <t>disposition des boues 4400 g_x000D_
par enviro5 le 23 mars 2020</t>
  </si>
  <si>
    <t>6383 tonnes de cendres ont été enfouies au LET de la station d'épuration.</t>
  </si>
  <si>
    <t>Disposition par enfouissement au site EBI, 44,47 m3, siccité de 11,4%</t>
  </si>
  <si>
    <t>Disposition par enfouissement au site d'enviro connexion 3779 chemin des 40-arpents , Terrebonne quebec j6v 9t6 , 1716 m3 de boues evacuées , siccité moyenne de 22.92% , 2 digesteurs anaérobies du 1er au 31 mars 2020 par centrifugation.</t>
  </si>
  <si>
    <t xml:space="preserve">Transport et disposition: Englobe, Les Compostes du Québec inc._x000D_
Quantité: 123.91 t.m._x000D_
Siccité: 30.5%_x000D_
</t>
  </si>
  <si>
    <t>Le 27 mars, 17,07 m3 de boues ont été pompés par camion vacuum et acheminés au site de disposition de St-Cyrille-de-Wendover.</t>
  </si>
  <si>
    <t xml:space="preserve">le 23-03 vidange du bassin des boues et du poste de pompage par vacuum drummond par camion citerne acheminé chez CTBM_x000D_
environ 70 m3 </t>
  </si>
  <si>
    <t>Déchets retirés 1mètre et 3/4 cubes</t>
  </si>
  <si>
    <t xml:space="preserve">deux voyage de 10 roue 3000 gallon chacun </t>
  </si>
  <si>
    <t xml:space="preserve">lagune  Municipalité de Bouchette </t>
  </si>
  <si>
    <t>218.7 tonnes métriques de boue à 23,4% de siccité. Valorisation des boues par Englobe (Mine BC1 SAL)</t>
  </si>
  <si>
    <t>210.03 T.M. de boues déshydratées par la centrifugeuse à une siccité moyenne de 21.0 % Les boues a été transportées pour être valorisées par Viridis . Déshydratation du 02 au 30 mars 2020 .</t>
  </si>
  <si>
    <t>91.15 kg</t>
  </si>
  <si>
    <t xml:space="preserve">Par Filtre a bandes_x000D_
A Barnston_x000D_
3 Mars 5.8tm 15.34%_x000D_
11 Mars 5.9tm 16.15%_x000D_
17 Mars 5.9tm 15.02%_x000D_
23 Mars 5.87tm 15.11%_x000D_
25 Mars 6.01tm 15.31%_x000D_
30 Mars 5.89tm 15.5%_x000D_
</t>
  </si>
  <si>
    <t>Les informations suivront en avril.</t>
  </si>
  <si>
    <t>Disposition des rebuts dans le conteneur a déchets_x000D_
Quantité : 1.18 m3</t>
  </si>
  <si>
    <t>Les boues sont évacuées par camion benne de 14 M3 et sont disposées du lundi au vendredi soit en valorisation ou au compostage._x000D_
Les boues sont déshydratées par un filtre à bande à une siccité moyenne pour avril de 18.1%_x000D_
La quantité totale évacué pour avril est de 162.6 M3</t>
  </si>
  <si>
    <t xml:space="preserve">Valorisation agricole : "Marc Leblanc avis Projet# 2633-4318 St-Anicet (33&amp; 43 St-Charles, Mercier)  154,8TM + "AGROBIOSOL_x000D_
Plate-Forme"  707,95 TM  - Total de :  862,75TM_x000D_
</t>
  </si>
  <si>
    <t xml:space="preserve">Date début: 8 avril 2020 7h45_x000D_
Date fin: 8 avril 2020 10h15_x000D_
Méthode utilisée: Camion pompe_x000D_
Quantité: 2000 Gallons_x000D_
Vidange d'urgence suite à du sable qui s'est infiltré dans un monôme entre ouvert suite à la fonte de la bordée de neige. </t>
  </si>
  <si>
    <t>Disposition des boues à l'usine de traitement de Sani-Etchemin Inc._x000D_
Date début: 8 avril 2020 7h45_x000D_
Date fin: 8 avril 2020 10h15_x000D_
Quantité: 2000 Gallons</t>
  </si>
  <si>
    <t>Le 14 avril, 19,69 m3 de boues ont été pompés par camion vacuum et acheminés au site de disposition de St-Cyrille-de-Wendover.</t>
  </si>
  <si>
    <t>Une entreprise en charge la disposition des boues et transporte le tout directement à son usine._x000D_
La quantité de boues évacuée est de 0.94 m3 sur une période de 36 jours.</t>
  </si>
  <si>
    <t>La fosse à boue à été vidée le 10 avril avec un écureur. 10.4 m3 au total avec une siccité moyenne de 1.65%.</t>
  </si>
  <si>
    <t>Les 10.4 m3 de boues de la fosse ont été emmenés au site d'enfouissement de la mrc de la vallée de l'or.</t>
  </si>
  <si>
    <t>Transport et disposition: Englobe, Les Composts du Québec inc._x000D_
Quantité: 82.96 t.m._x000D_
Siccité: 34.1%</t>
  </si>
  <si>
    <t>Déshydratation des boues par centrifugeuse._x000D_
Valorisation par Viridis Environnement._x000D_
Quantité totale mensuelle: 35.2 Tonnes métrique_x000D_
Siccité moyenne: 24.4 %</t>
  </si>
  <si>
    <t>320 litres de rebut  site enfouissement</t>
  </si>
  <si>
    <t>Éliminée à la station d'épuration de Sherbrooke. Volume total de 264  m3 avec une siccité de 4.5 %.</t>
  </si>
  <si>
    <t>Barnston par fitlre a bande_x000D_
2 Avril 6tm 17.35%_x000D_
8 Avril 6tm 15.83%_x000D_
15 Avril 5.9tm 16.14%_x000D_
20 Avril 6.2tm 16.28%_x000D_
22 Avril 5.9tm 15.62%_x000D_
27 Avril 6.1tm 15.93%_x000D_
29 Avril 6.15tm 15.89%</t>
  </si>
  <si>
    <t xml:space="preserve">Méthode:   Camion citerne,                   Méthode:      Camion citerne,_x000D_
Lieu:           Chénéville,                           Lieu:              Chénéville,_x000D_
Quantité 1: 32 m3,                                  Quantité 2:   17 m3,_x000D_
Siccité 1:     3.7%,                                    Siccité 2:       3.7 %,_x000D_
Bassin:        # 2,                                       Bassin:          # 2,_x000D_
Date 1:       07-04-2020,                          Date 2:         28-04-2020_x000D_
Méthode:   Vacuum.                                Méthode:    Vacuum._x000D_
      _x000D_
</t>
  </si>
  <si>
    <t>73.95 kg</t>
  </si>
  <si>
    <t>283.2 tonnes métriques de boue à 22.2% de siccité. Valorisation des boues par Englobe (Mine BC1 SAL)</t>
  </si>
  <si>
    <t>Les boues sont transportées par camion benne au site de résidu minier de la East-Sullivan. 305.2 m3 avec une siccité moyenne de 14.8%.</t>
  </si>
  <si>
    <t>Déchets retirés 1 mètre cube et 1/3</t>
  </si>
  <si>
    <t>Les boues de Vaudreuil-Dorion sont deshydratées par tambours rotatifs suivi de centrifugeuses. Elles sont valorisées par Viridis Environnement . Le total du mois de mai est de 494,52 Tonnes humides à une siccité moyenne de 20,1 % . Les boues ont été valorisées chez Les Fermes Lebec Inc pour les 494,52 Tonnes.</t>
  </si>
  <si>
    <t>Déshydratation des boues par pressoir rotatif dont la siccité moyenne est de 25.5% Transport par camion vers le champs (valorisation) 284.81 T.M</t>
  </si>
  <si>
    <t>Méthode : Compostage et valorisation agricole (agriculteurs). Lieu Gazon Savard et champs agricoles. Quantité : 776 T.M. et siccité de 18,3%.</t>
  </si>
  <si>
    <t>Du 01-30 Avril 2020, les boues acheminées au bassin d'extraction, sont centrifugées à une siccité de  25% cummulant 48.06 tonnes a été disposé par viridis environnement à la ferme du ruisseau mirabel, ferme perth inc et chez novago coopérative.</t>
  </si>
  <si>
    <t>77.231 tm disposées en valorisation.  A la ferme René Bessette 1673 Rang Kempt St_Alexandre 20.7 tm , Ferme Choquette champ 16 774 route 133 Henryville , 32.371 tm et a la ferme Réal et René Ryan senc/stucture Noyan 23.56 tm .On a eu une siccité moyenne de 17.72 %  On a disposé 1.2 tm de déchets de dé-grillage en enfouissement ainsi que 2.7 tm de déchets de dessablage.</t>
  </si>
  <si>
    <t xml:space="preserve">Du 14 au 30 avril, pompage des boues par dragage du bassin 1B et déshydratation par centrifugeuse. Méthode de disposition par valorisation agricole par la firme Terrapure_x000D_
La siccité moyenne est de 40,8%  et le volume extrait est de 329 TMS._x000D_
_x000D_
_x000D_
_x000D_
_x000D_
_x000D_
</t>
  </si>
  <si>
    <t xml:space="preserve">Du 14 au 30 avril, pompage des boues par dragage du bassin 1B et déshydratation par centrifugeuse. Méthode de disposition par valorisation agricole par la firme Terrapure au champs: _x000D_
No 1, situé au 19441, Côte St-Pierre Sainte-Anne-des-Plaines, (Quebec)_x000D_
No 2, situé au 	2275, chemin Comtois, Terrebonne, (Quebec) J6X 4H4_x000D_
No 4, situé au 	18905, rue Victor, Mirabel, (Quebec) J7P 1P4_x000D_
No 6, situé au	pénitancier	 _x000D_
_x000D_
La Siccité moyenne est de 40.8%  et le volume extrait est de 329 TMS._x000D_
_x000D_
_x000D_
</t>
  </si>
  <si>
    <t xml:space="preserve">Lieu d'élimination pour l'enfouissement : Lachenaie pour 414,4 TM avec siccité moyenne de 26,4 %_x000D_
Déchets: dégrillée: 13,3 m3_x000D_
               dessablée: 9,3 m3_x000D_
Aide coagulant: AE440 : 1100 kg_x000D_
</t>
  </si>
  <si>
    <t>Méthode de disposition: Camion citerne ECC environnement. _x000D_
Lieu de disposition: Voir compagnie ECC environnement._x000D_
Quantité de boues évacuée: 70 m³._x000D_
Siccité moyenne des boues: 4%. _x000D_
Méthode utilisée: Pompage par camion citerne.</t>
  </si>
  <si>
    <t>1072.21 tm à 15.83% de siccité envoyées au site de compostage de Gesterra à St-Rosaire</t>
  </si>
  <si>
    <t xml:space="preserve">Lieu d'élimination pour l'enfouissement : Lachenaie pour 349,3 TM avec siccité moyenne de 30,1 %_x000D_
Déchets: dégrillée: 18,27 TM_x000D_
               dessablée: 9,94TM_x000D_
Aide coagulant: AE440 : 3337 kg_x000D_
</t>
  </si>
  <si>
    <t>30260 Kg disposée chez Campor inc. avec une siccité moyenne de 12.87%</t>
  </si>
  <si>
    <t>Disposition par camion benne. Lieux de disposition: 1er au 24 avril, Agrobiosol St-Chrysostome et du 27 au 30 avril, Ferme Cloclair, St-Edmond. Quantité de boues évacuées pour le mois: 338,4m³. Siccité moyenne: 24,6 %.</t>
  </si>
  <si>
    <t>65,32 tonnes de boues ont été acheminées sur la plateforme de compostage de la Ville de Lac-Mégantic. 23,45 tonnes de boues ont été acheminés au site de Lafontaine et fils à Nantes. Siccité moyenne des boues : 16,8%.</t>
  </si>
  <si>
    <t>Lieu d'élimination pour l'enfouissement : Lachenaie pour 643,91 TM avec siccité moyenne de 31,8%_x000D_
Déchets: dégrillée: 3,2 m3_x000D_
               dessablée: 1,2 m3</t>
  </si>
  <si>
    <t>47.6 m3 de boue évacuée chez VIRIDIS Environnement. Siccité: 22.7%</t>
  </si>
  <si>
    <t xml:space="preserve"> 495tm de boue transportée produite à 20.9% de siccité_x000D_
Enfouissement de 159 tm sur les 495 tm produites</t>
  </si>
  <si>
    <t xml:space="preserve">- Déchets retirés par les dégrilleurs : 65 m3 _x000D_
- Sable retiré par le ou les dessableurs : 13.88 tonnes. _x000D_
- Disposition de de 1321.7 tonnes de boues à 25.41 % de siccité par Uteau Valorisation _x000D_
- Aucun voyage de granule n'a été effectué pour ce mois ci. </t>
  </si>
  <si>
    <t>2884.06 tonnes de cendres ont été enfouies au LET de la station d'épuration Jean R. Marcotte</t>
  </si>
  <si>
    <t>EBI, Saint-Thomas, 23.44 t.m. , siccité 16.7 %</t>
  </si>
  <si>
    <t>0,5m3</t>
  </si>
  <si>
    <t>Valorisation agricole. JMV Environnement. 384,5 tonnes métriques à une siccité moyenne de 32,7%.</t>
  </si>
  <si>
    <t>Méthode de disposition : Enfouissement Lieu de disposition : L.E.T. de la MRC de Charlevoix-Est Quantité de boues évacuée : environ 78 m3 (49.49 tonnes) provenant des bassins 1 et 2 Date d'opération du pressoir : 2-6-9-13-14-20-23-29. Siccité moyenne : 38% Bassin de boues 1 et 2.</t>
  </si>
  <si>
    <t>Nous avons revalorisé 119.6 Tonnes de boues à la mine Jeffrey avec une scicité moyenne de 17.86 %</t>
  </si>
  <si>
    <t>17,3+17,8+17,2+19,7+15,9+18,7=106,6 tonnes de boues déshydratées et enfouies par Viridis Environnement avec une siccité d'environ 20,2%</t>
  </si>
  <si>
    <t xml:space="preserve">Valorisation agricole, 745 rue St-Louis, St-Cyrille de Wendover, 17,35 tonnes métriques, _x000D_
siccité moyenne de 27,0% (boue biologique et septique), _x000D_
pressoir rotatif Fournier, 1er avril au 30 avril 2020, par camion dompeur._x000D_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</si>
  <si>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34241 m3  _x000D_
Siccité moyenne : 3.87%_x000D_
N.B. : Cette quantité comprend les boues des stations Est et Ouest combinées_x000D_
</t>
  </si>
  <si>
    <t>Boues revalorisée et disposée chez Néo Mccraig B1 ( fosse ) et M. Séguin St-Rédempteur M6. Total de 113,5 tonnes avec une siccité de 23.4%. Méthode utilisée est l'électro-déshydratation.</t>
  </si>
  <si>
    <t>136.54 T.M. de boues déshydratées par la centrifugeuse à une siccité moyenne de 20.5% Les boues a été transportées pour être valorisées par Viridis . Déshydratation du 01 au29 avril 2020 .</t>
  </si>
  <si>
    <t>11,09 TMS de boues déshydratées par filtre à bande, soit 54,88 TM avec une siccité moyenne de 20,2 %. Valorisation par la firme Épursol à la Ferme du Ruisseau de Mirabel.</t>
  </si>
  <si>
    <t>Entreposage des boues aux champs et valorisation agricole. 499,5 TM à une siccité moyenne de 19,8%. Disposition au besoin chez Englobe (Compost du Québec à St-Henri)</t>
  </si>
  <si>
    <t>71 890 kg de boues d'une siccité moyenne de 15,0% sont envoyées en valorisation dans la Municipalité de Saint-Alexandre.</t>
  </si>
  <si>
    <t>Système de presse a boues, l'évacuation ce fait par la société ENVIROCONNEXION, vers le site d'enfouissement de LACHENAIE._x000D_
La quantité de Boues évacués pour le mois d'Avril est de 219.32 tonnes</t>
  </si>
  <si>
    <t>Vidange de l'étang 2A.  Date de début : 23 avril 2020, date de fin : 6 mai 2020._x000D_
Pompage des boues par dragage. Déshydratation des boues par centrifugeuse. Les boues sont déposées dans le lit de séchage à une siccité moyenne de 25%. _x000D_
Quantité de boues : 580 TMS (17 435 m³) Siccité moyenne des boues : 3.33%</t>
  </si>
  <si>
    <t>Déshydratations quotidienne par Centrifugeuse, disposition ferme Mondoux  la valorisation des boues, quantités disposées 117,79 tonnes métrique humides (THM), avec une siccités moyenne mensuelle de 25,4 %. Provenant de l'épaississeur.</t>
  </si>
  <si>
    <t>Quantité de boues évacuée : 0.635 m³</t>
  </si>
  <si>
    <t>Les boues sont pompées en continue à partir de notre décanteur primaire et de nos deux décanteurs secondaires pour être dirigées vers un cuvier de boues mixtes duquel les boues sont deshydratées à l'aide de 4 presses à vis.  La siccité moyenne mensuelle pour le mois en cours a été de 40.5%._x000D_
_x000D_
Les boues sont disposées de deux façons_x000D_
5739 tonnes ont été revégétalisées à la Mine Jeffrey_x000D_
1109 tonnes ont été valorisées agricolement.</t>
  </si>
  <si>
    <t>Boues déshydratées par un pressoir rotatif. 46,5m3 de boues ont été envoyées au LET de Gaspé avec une siccité moyenne de 27,67%.</t>
  </si>
  <si>
    <t>Valorisation agricole et compostage 850 tonnes</t>
  </si>
  <si>
    <t xml:space="preserve">Un total mensuel de 951 596 kg de MS d'une siccité moyenne de 26.5 % ont été disposées soit 464 848 kg de MS par incinération à la station d'épuration et 486 749 kg de MS par la firme JMV Environnement pour épandage. </t>
  </si>
  <si>
    <t>Ouvrage municipal d'assainissement des eaux usées de Hudson (Whitlock West)</t>
  </si>
  <si>
    <t>Vidange de la fosse à boues (59 m3 soutiré) 23 avril. Camion vaccum. Siccité moyenne 1.0 %</t>
  </si>
  <si>
    <t>Boues de la fosse à boues. 59 m3. Siccité moyenne : 1%. Par camion vaccum. 23 Avril. Lieu de disposition : Usine d'eaux usées de la ville d'Hudson 26 rue Wharf, J0P1H0</t>
  </si>
  <si>
    <t>Boues déshydratées. Quantité: 10.63 tonnes métriques. Siccité moyenne: 14.1 %. Lieu d'élimination des boues: Centre de transfert Vaudreuil-Dorion</t>
  </si>
  <si>
    <t xml:space="preserve">Boues disposées par enfouissement au site d'enviro connexion au 3779 chemin des 40-arpents Terrebonne , 1468 m3 de boues évacuées avec une siccité moyenne de 23,55 provenant de 2 digesteurs anaérobies du 1er au 30 avril 2020 par centrifugation </t>
  </si>
  <si>
    <t>Date de sortie des boues: 08-13-17-23-30 avril. Quantité: 15.9 - 14.0 - 15.2 - 14.5 - 15.9 tonne. Siccité moyenne 33.7%. Lieu de disposition: Gestion Juno et frères Inc. Ferme JP K7 inc. Structure</t>
  </si>
  <si>
    <t>Valorisation St-Chrysostome 111.98MH</t>
  </si>
  <si>
    <t>Disposition par enfouissement au site EBI, 20,61 m3, siccité moyenne de 11,4%</t>
  </si>
  <si>
    <t>Les boues sont acheminer par voyage (N=59 ) vers Valorisation agricole et Gazon savard ,volume du mois est 641 m³ ,dune siccité de 15.24 % traiter du lundi au vendredi par trois F A B ,deux dégrémont (à air) et un mabarex (hydraulique) .</t>
  </si>
  <si>
    <t>Vidange des boues de l'épaississeur vers le lit de séchage. Volume estimé à 105 m3. Siccité non-disponible.</t>
  </si>
  <si>
    <t xml:space="preserve">valorisation des boues_x000D_
lieux: Mine black lake (phase 3), Ferme cloclair 6, Ferme du ruisseau mirabel (structure), Ferme dynamique (structure), Élevage des Vallons (structure), Mario Vaillancourt 12DI, Éric Jacques (champ AC1), Robert Breault (côté maison)_x000D_
quantité: 1463.47 TM_x000D_
siccité:_x000D_
1	16,43	2	16,51	3	17,14	4	16,44	6	16,20	7	16,24	8	15,67	9	16,12	10	16,30    13	16,43	14	16,98	15	16,79 16	16,65	17	16,18    20	16,40	21	15,91	22	15,81	23	15,60	24	16,36	25	15,32	27	15,30	28	14,87	29	15,80	30	15,10   Moyenne mensuelle:  16,11																						_x000D_
</t>
  </si>
  <si>
    <t>Agrobiosol: 80.19 T, siccité moyen 25% Envoyé dans une benne par camion.</t>
  </si>
  <si>
    <t>257038 kg de boue à une siccité moyenne de 19.7% valorisé par la firme "viridis"</t>
  </si>
  <si>
    <t xml:space="preserve">Pour le mois d'avril, nous avons disposé de la boue 5 jours/semaines. La siccité moyenne pour le mois est de 17.3%_x000D_
Nous avons disposé 840 Tonnes de boues en revalorisation agricole et 727 Tonnes en réhabilitation._x000D_
Pour un total de 1567 Tonnes de boues._x000D_
_x000D_
</t>
  </si>
  <si>
    <t>Ouvrage municipal d'assainissement des eaux usées de Saint-Joseph-de-Beauce</t>
  </si>
  <si>
    <t>Saint-Joseph-de-Beauce</t>
  </si>
  <si>
    <t xml:space="preserve">Entre le 26/03/2020 et le 17/04/2020 on a effectué la vidange des boues de l'étang 2 avec un volume total de 11654 m3 et une siccité moyenne des boues soutirées de 1.6 %._x000D_
on a utilisé la méthode de déshydratation mécanique avec centrifugeuse . </t>
  </si>
  <si>
    <t>Entre le 26/03/2020 et le 17/04/2020 on a déposé 103 camions qui équivaut à 2632.9 tonnes des boues déshydratés dans la mine Black Lake avec une siccité moyenne de 22.6% .</t>
  </si>
  <si>
    <t>Disposition de 1075.4 TM de boue à 40% de siccité par la firme Viridis</t>
  </si>
  <si>
    <t>Disposition des rebus dans le conteneur à déchets_x000D_
Quantité : 0.38 m3</t>
  </si>
  <si>
    <t>25 mai: vidange complète des bassins par vacuum pour un volume de 1,95 m3</t>
  </si>
  <si>
    <t>25 mai: disposition à l'affluent des étangs SMC par vacuum pour un volume total de 1,95 m3</t>
  </si>
  <si>
    <t>25 mai: vidange complète par vacuum pour un total de 11,32 m3 de boues soutirées</t>
  </si>
  <si>
    <t>25 mai: Par vacuum à l'affluent des étangs SMC ( 11,32 m3 )</t>
  </si>
  <si>
    <t>Volume de déchets = 0,73 m³</t>
  </si>
  <si>
    <t>Transporté hebdomadairement par un camion déchet au site d'enfouissement sanitaire de la MRC de Lotbinière, la quantité de boues évacuée est de .75 m3._x000D_
_x000D_
Nous avons un système de dégrillage fin pour le traitement des eaux usées.</t>
  </si>
  <si>
    <t>Ouvrage municipal d'assainissement des eaux usées de Saint-Apollinaire</t>
  </si>
  <si>
    <t>Saint-Apollinaire</t>
  </si>
  <si>
    <t xml:space="preserve">vidange de l'étangs 2 et 3  le 25 mai au matin jusqu'au 30 mai au pm , la méthode utilisée est la déshydratation positive. le rapport  final n'est pas encore sortie , l'étang 1 devrait se fair vidanger au mois d'août, on vous communique les résultats aussitôt reçu. </t>
  </si>
  <si>
    <t>La disposition des boues devrais se faire l'an prochain</t>
  </si>
  <si>
    <t>Du 01 au 31 Mai 2020, les boues acheminées au bassin d'extraction, sont centrifugées a une siccité de  24% cumulant 65.37 tonnes a été disposé par Viridis environnement aux fermes suivante: Du Ruisseau Mirabel, Benallan S.E.N.C. et Bédard S.E.N.C.</t>
  </si>
  <si>
    <t>Du 05 au 10 mai, pompage des boues par dragage du bassin 1A et déshydratation par centrifugeuse. Méthode de disposition par valorisation agricole par la firme Terrapure La siccité moyenne est de 31.30% et le volume extrait est de 1065.45 TMS.</t>
  </si>
  <si>
    <t>Du 05 au 10 avril, pompage des boues par dragage du bassin 1A et déshydratation par centrifugeuse. Méthode de disposition par valorisation agricole par la firme Terrapure aux champs: No 1, situé au 19441, Côte St-Pierre Sainte-Anne-des-Plaines, (Québec) No 4, situé au 18905, rue Victor, Mirabel, (Québec) J7P 1P4  No 5, situé au 11940, cote des sait Mirabel, j7n2w1 et au champ No.7, situé au 20275 Côte-Nord, Mirabel, J2J 2B4.  La Siccité moyenne est de 31.30% et le volume extrait est de 1065.45 TMS.</t>
  </si>
  <si>
    <t xml:space="preserve">Le 4 Mai 2020, 1700 m3 ont été épandu sur le lot 3 907 234 de Saint-Mathias-sur-Richelieu dune superficie denviron 27 ha._x000D_
La siccité sur léchantillon était de 4 %. _x000D_
Les épandages ont été effectués à laide de 4 citernes munies de rampes basses._x000D_
</t>
  </si>
  <si>
    <t>Déshydratations quotidienne par Centrifugeuse, disposition ferme Ruisseau Mirabel, ferme Bédard Novago SENC, et aussi à la ferme Benallan SENC pour là  valorisation des boues, quantités disposées 101,73 tonnes métrique humides (THM), avec une siccités moyenne mensuelle de 24 %. Provenant de l'épaississeur.</t>
  </si>
  <si>
    <t>Valorisation agricole.  JMV Environnement. 357,4 tonnes métriques. 27,4 % de siccité moyenne.</t>
  </si>
  <si>
    <t>Ouvrage municipal d'assainissement des eaux usées de Saint-Zotique</t>
  </si>
  <si>
    <t>Saint-Zotique</t>
  </si>
  <si>
    <t>Cellule 4, 28 au 29 mai 2020, Déshydrations mécanique.  163.17 m3.  6.3% de siccité_x000D_
Cellule 1  31 mai 2020, Déshydratation mécanique. 87.1 m3. 11.2 % de siccité_x000D_
_x000D_
Vidange de boue du 28 mai au 23 juin 2020.</t>
  </si>
  <si>
    <t>Valorisation agricole. lieu St-Polycarpe, Ch Ste-Catherine, champs 7, 56.04 m3 , à 16.13% de siccité._x000D_
Valorisation agricole, lieu St-Télésphore, Ch St-Télésphore, champs 74. 36.85 m3 à 16.8 % de siccité._x000D_
Valorisation agricole. lieu St-Télésphore, Routes 340, champs 34. 36.67 m3 à 17.3% de siccité._x000D_
Valorisation agricole. lieu St-Polycarpe, Ch Ste-Catherine, champs 7, 33.61 m3 , à 176.9% de siccité._x000D_
Valorisation agricole, lieu St-Télésphore, Ch St-Télésphore, Champ 74, 87.01 m3 à 23.07% de siccité._x000D_
_x000D_
Vidange de boue du 28 mai au 23 juin 2020.</t>
  </si>
  <si>
    <t>Méthode de disposition : Enfouissement Lieu de disposition : L.E.T. de la MRC de Charlevoix-Est Quantité de boues évacuée : environ 57 m3 (34.3 tonnes) provenant des bassins 1 et 2 Date d'opération du pressoir : 4-7-11-14-19-25 Siccité moyenne : 39.33% Bassin de boues 1 et 2.</t>
  </si>
  <si>
    <t>Méthode de disposition: 180 m3 of sludge. Lieu de disposition :On scott judds field. siccité: 25-30% Bassin: le reservoire a boue. 20 may 2020</t>
  </si>
  <si>
    <t>Boues déshydratées par un pressoir rotatif. 40,5m3 de boues ont été envoyées au LET de Gaspé avec une siccité moyenne de 24,60%.</t>
  </si>
  <si>
    <t>Déshydratation des boues par centrifugeuse._x000D_
Valorisation par Viridis Environnement._x000D_
Quantité totale mensuelle:  89.8 Tonnes métrique_x000D_
Siccité moyenne: 23.6 %</t>
  </si>
  <si>
    <t>66,64 tonnes de boues ont été acheminés au site de Lafontaine et Fils à Nantes à une siccité moyenne de 16,3%.</t>
  </si>
  <si>
    <t>66,2 TM de boues déshydratées par filtre à bande à 20,9 % de siccité moyenne, soit 13,8 TMS, Valorisées à Mirabel par la firme Épursol.</t>
  </si>
  <si>
    <t>Valorisation de 581.3 tm de boues transportées à 26.3 % de siccité.</t>
  </si>
  <si>
    <t>1 200 839 kg de MS de boues déshydratées d'une siccité moyenne de 27.3% ont été disposées soit 500 257 kg de MS par incinération à la station d'épuration et 700 582 kg de MS par épandage par la firme JMV Environnement.</t>
  </si>
  <si>
    <t>Boues déshydratées. Quantité: 20.01 tonnes métriques. Siccité moyenne: 14.4 %. Lieu d'élimination des boues: Centre de transfert Vaudreuil-Dorion</t>
  </si>
  <si>
    <t>La vidange des boues a  été exévutée (fosse septique de cinquante quatre (54 m³) mètres cubes et  puits humide) le 19 mai 2020 par le Groupe ADE Inc., de Sherbrooke.</t>
  </si>
  <si>
    <t>La disposition des boues a  été exévutée (fosse septique de cinquante quatre (54 m³) mètres cubes et  puits humide) le 19 mai 2020 par le Groupe ADE Inc., de Sherbrooke.</t>
  </si>
  <si>
    <t>Les boues sont pompées en continu à partir de notre décanteur primaire et de nos deux décanteurs secondaires pour être dirigées vers un cuvier de boues mixtes duquel les boues sont déshydratées avec l'aide de quatre presses à vis. La siccité moyenne mensuelle pour le mois de mai a été de 40,5%._x000D_
Les boues ont été disposées de deux façons: _x000D_
4691 tonnes en valorisation agricole_x000D_
1586 tonnes en revégétalisation à la mine Jeffrey</t>
  </si>
  <si>
    <t>1110.73 tm à 16.18% envoyées au compostage au site de Gesterra à St-Rosaire.</t>
  </si>
  <si>
    <t>Les boues sont évacuées par camion benne de 14 M3 et sont disposées du lundi au vendredi soit en valorisation ou au compostage. Les boues sont déshydratées par un filtre à bande à une siccité moyenne pour avril de 18.3% La quantité totale évacué pour avril est de 159 M3</t>
  </si>
  <si>
    <t xml:space="preserve">Lieu d'élimination pour l'enfouissement : Lachenaie pour  696,3 TM avec siccité moyenne de 28,8 %_x000D_
Déchets: dégrillée: 16,28 TM_x000D_
               dessablée: 18,18 TM_x000D_
Aide coagulant: AE440 : 2025 kg_x000D_
</t>
  </si>
  <si>
    <t>Saint-Thomas, EBI, 28.25 tm , 14.9% de siccité moyenne</t>
  </si>
  <si>
    <t>Ouvrage municipal d'assainissement des eaux usées de Saint-Donat (Les Cimes)</t>
  </si>
  <si>
    <t>La date de début de la vidange des boues est le  20 mai 2020 et nous avons terminé la vidange le 21 mai 2020. Afin de vidanger les boues nous avons du pomper à l'aide d'un camion vacuum la totalité d'eau et de boue des deux sections la fosse. Les eaux ainsi que les boues vidangés ont été acheminés vers le système d'épuration par étang non aéré facultatif 62060-1. La quantité de boues soutirés dans les deux sections de la fosse est de 21.17 mètres cube. Le volume d'eau de surnageant pompés afin de vidanger les boues est de 63.23 mètres cube. La siccité des boues était de 2.26 %.</t>
  </si>
  <si>
    <t>Nous avons disposés les boues des deux sections de la fosse dans la baie de déshydratation des boues d'alun de notre système d'épuration par étang non aéré facultatif 62060-1. La méthode utilisé afin de disposer les boues s'est effectué à l'aide d'un camion vacuum muni d'un réservoir de 3000 gallons. La siccité moyenne des boues transportés vers la baie de déshydratation de notre système d'épuration par étang non-aéré facultatif est de 2.26 %. Nous avons débuté la vidange des boues le 20 mai 2020 et avons terminé le 21 mai 2020.</t>
  </si>
  <si>
    <t xml:space="preserve">Une entreprise prend en charge la disposition des boues et transporte le tout directement à son usine._x000D_
La quantité de boues évacuée est de 0.94 m3 sur une période de 37 jours._x000D_
</t>
  </si>
  <si>
    <t>Valorisation à St-Chrysostome 154.01MH</t>
  </si>
  <si>
    <t>Disposition par camion benne. Lieu de disposition: Ferme Daniel Lalande Saint-André (315.05 m3), Ferme D. Girard Saint-Germain (47.98 m3), Ferme Lortie Saint-Lin (38.36 m3), Ferme Paul Bernet Saint-Félix (44.1 m3). Quantité de boues totale évacuées pour le mois 445 m³. Siccité moyenne: 24,5 %.</t>
  </si>
  <si>
    <t>Entreposage des boues aux champs et valorisation agricole. 585,2 TM à une siccité moyenne de 17,2%. Disposition au besoin chez Englobe (Compost du Québec à St-Henri)</t>
  </si>
  <si>
    <t xml:space="preserve">Disposition des boues par enfouissement au site d'enviro connexion 3779 chemin des 40-arpents Terrebonne Quebec J6V 9T6 , 1495 m3 de boues , siccité moyenne de 23.46% , 2 digesteurs anaérobiques du 1er au 31 mai 2020 par centrifugation </t>
  </si>
  <si>
    <t>2520 tonnes de Fertili cendres ont été enfouies au LET de la station et 389 tonnes de Fertli cendres ont été recyclées comme engrais agricole</t>
  </si>
  <si>
    <t xml:space="preserve">Méthode: Compostage et valorisation agricole (agriculteur). Lieu Gazon Savard et champs agricole. _x000D_
Quantité: 1207 T.M. et siccité de 15.8%_x000D_
</t>
  </si>
  <si>
    <t>Sortie de boue le 20 mai  2020 entreposer sur place, disposition de 48.94 tonnes le 6  et 11 mai  2020 siccité de 25.38% et 13.63% Ferme Dufort et Fils inc. 1278, rang Double Saint-Lin-Laurentides.</t>
  </si>
  <si>
    <t xml:space="preserve">Les boues sont valorisées aux endroits suivants :  Vaillancourt, Mario 22DI,           Les Entreprises Magnum inc. / Structure,         Ferme les trois C inc.  8 et V10,        Pelletier,Andrée/Structure,             9302-5955 Québec Inc Turgeon, Christopher A1,          Grégoire, René 3,             Élevage des Vallons/Structure,       Ferme Annerick inc. 9B,         Ferme coureurs des bois AC1 (ent)  et LO8 (ent),          Entreprises Fermagri SENC RC1 et LT1,          Lachance Denis Champ3,        Ferme des Sites enr. (SENC) champ 7,_x000D_
Ferme Desrosiers Enr. Juge (ent)_x000D_
Quantité de boues; 1801,1 TM_x000D_
1 mai  15,35%  	2 mai  15,13%    4 mai  16,20%	5 mai  16,34% 	  6 mai   16,68%    7 mai	15,66%	8 mai   15,11%    9 mai	15,84%	11 mai   16,00%	12 mai  15,73% 13 mai  15,74%	14 mai  15,61%	15 mai    15,62%    16 mai   16,25%	    18 mai   16,05%	  19 mai	15,16%	20 mai   16,23%	21 mai   15,86%	22 mai	14,40%      24 mai   15,02%	25 mai	15,22%	26 mai	15,52%	27 mai	15,84%	28 mai	15,16%	29 mai	18,71%	30 mai	16,20%_x000D_
	Moyenne mensuelle:	15,79 %																						_x000D_
</t>
  </si>
  <si>
    <t>Date de sortie des boues: 11-14-20-25-28 mai. Quantité: 19,6 - 19,7 - 19,3 - 19,5 - 18,3 tonne. Siccité moyenne: 24,5%. Lieu de disposition: Gestion Juneau et Frères Inc.</t>
  </si>
  <si>
    <t>Nous avons disposé de la boue pratiquement à tous les jours pour le mois de mai. La siccité moyenne de la boue est de 17.3 %_x000D_
Nous avons disposé au total 2175.27 Tonnes de boue pour le mois de mai et la totalité a été en revalorisation agricole.</t>
  </si>
  <si>
    <t xml:space="preserve">Système de presse a boues, l'évacuation ce fait par la société ENVIROCONNEXION, vers le site d'enfouissement de LACHENAIE._x000D_
La quantité de Boues évacués pour le mois de Mai est de 399.64 tonnes_x000D_
</t>
  </si>
  <si>
    <t>Vidange des boues de la chambre des préfiltres le 27 Mai par camion-vacuum. Près de 4.9 m3 soutirée. Les boues ont une siccité de 4.5%</t>
  </si>
  <si>
    <t>Les boues sont traitées par floculation/décantation avec la méthode du DAB. Les boues ramassées à la sortie ont une siccité moyenne de 17% et sont disposées par valorisation agricole sur différentes fermes. La date de vidage est le 28 Mai dans la chambre des préfiltres. Volume: 4.9m3</t>
  </si>
  <si>
    <t>Le bassin de stockage des boues a été vidangé par camion vacuum le 19  et 21,3m3 de boues ont été transportées au site de disposition de St-Cyrille de Wendover.</t>
  </si>
  <si>
    <t>Vidange par Beauregard fosse septique par camion vacuum le 14-05-2020:_x000D_
-Vidange de la fosse à boue_x000D_
-Vidange de la fosse septique_x000D_
-Vidange du bassin tampon_x000D_
-Vidange des bassins sous les biodisques_x000D_
_x000D_
La siccité des boue: 2.1%</t>
  </si>
  <si>
    <t>Usine d'épuration: St-Cyrille_x000D_
9000gallons total_x000D_
La siccité des boue: 2.1%</t>
  </si>
  <si>
    <t>cellule # 1 _x000D_
début:2 mai_x000D_
fin: 21 mai_x000D_
par centrifugeuse_x000D_
618.87 tonne _x000D_
moyenne 34.13% siccité</t>
  </si>
  <si>
    <t>par camion_x000D_
valorisation agricole_x000D_
quantité 618.87 tonnes_x000D_
34.13% moyenne siccité_x000D_
cellule # 1_x000D_
début: 2 mai _x000D_
fin: 21 mai_x000D_
centrifugeuse</t>
  </si>
  <si>
    <t>Valorisation agricole :  983,9TM  - 91.95 TM Plate forme Agrobiosol- 399.8TM Ferme Muzzi Jeuris che. Alberton - 150TM Ferme Marc Leblanc St-Anicet - 342,15TM Ferme Serge Lacoste Mercier</t>
  </si>
  <si>
    <t>Disposition de 1410.9 TMS de boue à 40% de siccité par la firme Viridis</t>
  </si>
  <si>
    <t xml:space="preserve">Déchets retirés par les dégrilleurs : 48 m3._x000D_
Sable retiré par le ou les dessableurs : 59.53 tonnes._x000D_
Disposition de 649.7 tonnes de boues à 25.15% de siccité par Uteau Valorisation. _x000D_
Disposition de 293.28 tonnes de granules à 96.04% de siccité par Ralph M Lang Custom Inc. Shawville. </t>
  </si>
  <si>
    <t>Identification du bassin ou de la cellule: Bassin no 1_x000D_
_x000D_
Date de début et de fin de la vidange: _x000D_
Début : 11 mai 2020_x000D_
Fin: 15 mai 2020_x000D_
_x000D_
Méthode utilisée: Drague flottante_x000D_
_x000D_
Quantité soutirée en m³ dans le bassin ou la cellule: 68,74 TMS_x000D_
_x000D_
Siccité moyenne des boues soutirées en %: 42,23%</t>
  </si>
  <si>
    <t xml:space="preserve">Champs Ferme JML (2275 Chemin Comtois, Terrebonne, J6X 4H4)_x000D_
_x000D_
Identification du bassin ou de la cellule: bassin no 1_x000D_
_x000D_
Date de début et de fin de la vidange: _x000D_
Début : 11 mai 2020_x000D_
Fin: 15 mai 2020_x000D_
_x000D_
Méthode utilisée: drague flottante_x000D_
_x000D_
Quantité soutirée en m³ dans le bassin ou la cellule: 68,74 TMS_x000D_
_x000D_
Siccité moyenne des boues soutirées en %: 42,23%_x000D_
</t>
  </si>
  <si>
    <t>Déshydratation des boues par pressoir rotatif dont la siccité moyenne est de 25.5% Transport par camion vers le champs (valorisation) 326 T.M</t>
  </si>
  <si>
    <t>le 11-05 vidange des boues par vacuum drummond avec citerne vers ECC environnement _x000D_
61.54 m3</t>
  </si>
  <si>
    <t xml:space="preserve">Lieu d'élimination pour l'enfouissement : Lachenaie pour  677,1 TM avec siccité moyenne de 29,7%_x000D_
Déchets: dégrillée: 5,1m3_x000D_
               dessablée: 2,2 m3_x000D_
_x000D_
</t>
  </si>
  <si>
    <t>Nous avons revalorisé 101.2 Tonnes de boues ayant une siccité moyenne de 23.4 % à la mine Jeffrey.</t>
  </si>
  <si>
    <t xml:space="preserve">Lieu d'élimination pour l'enfouissement : Lachenaie pour 534,4 TM avec siccité moyenne de 27,9 %_x000D_
Déchets: dégrillée: 16,9 m3_x000D_
               dessablée: 10,4 m3_x000D_
Aide coagulant: AE440 : 1150 kg_x000D_
</t>
  </si>
  <si>
    <t>Valorisation agricole 988 tonnes</t>
  </si>
  <si>
    <t>Disposition par enfouissement au site EBI, 51,67 m3 , siccité moyenne de 11,4%</t>
  </si>
  <si>
    <t>10 m3 de boues évacuée par camin vaccume. il a été transporter chez Uteau. la siccité moyenne était de 50-60%. Les bassin étaient ledécanteur primaire droite et les deux désableurs. début 7 mai  12h00 - 7 mai 3h00.</t>
  </si>
  <si>
    <t>144.34 T.M. de boues déshydratées par la centrifugeuse à une siccité moyenne de 20.7% Les boues a été transportées pour être valorisées par Viridis . Déshydratation du 04 au 25  mai 2020 .</t>
  </si>
  <si>
    <t>Ouvrage municipal d'assainissement des eaux usées de Stanstead Canton (Fitch Bay)</t>
  </si>
  <si>
    <t xml:space="preserve">Vidange de la cellule 3 et 4 ,  partiel 1 et 2. Vidange du 20 au 28 avril. Pompage de boues après l'enlèvement du surnageant. La quantité est de 411.12 m3 . La siccité est de 10%. _x000D_
</t>
  </si>
  <si>
    <t>Usine d'épuration de East Angus.</t>
  </si>
  <si>
    <t xml:space="preserve">valorisation agricole, Néo Maccraig, M.Brunette, Néo M.Campeau. 170.48 TMH a 21.1% par électro déshydratation._x000D_
</t>
  </si>
  <si>
    <t>Ouvrage municipal d'assainissement des eaux usées de Saint-Jude</t>
  </si>
  <si>
    <t>Saint-Jude</t>
  </si>
  <si>
    <t>Les cellules 3 et 4 ont été vidangées par dragage.  159,47 m3 à une siccité moyenne de 2,26%, ont été soutirés de la cellule 3 et 261,2 m3 à une siccité moyenne de 1,97% ont été soutirés de la cellule 4.  Les opérations ont eu lieu le 23 avril 2020.  Les boues ont par la suite été transportées vers le site de valorisation retenu.</t>
  </si>
  <si>
    <t>Les boues liquides soutirées ont été pompées dans des camions de transport et épandues sur une terre de la ferme Libert située à St-Aimé.  La siccité moyenne des 420 m3 de boues soutirées était de 2,06%.</t>
  </si>
  <si>
    <t>320 litres de rébus site enfouissement</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</si>
  <si>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43236 m3  _x000D_
Siccité moyenne : 3.72%_x000D_
N.B. : Cette quantité comprend les boues des stations Est et Ouest combinées_x000D_
</t>
  </si>
  <si>
    <t xml:space="preserve">15960 Kg disposée chez Campor environnement inc. avec une siccité moyenne de 11.43% </t>
  </si>
  <si>
    <t>On a disposé de 77.23 tonne métriques de  boue en valorisation . La siccité moyenne a été de 18.46 %. On a disposé de 20.7 tonne sur la ferme R Bessette au 1673 Rang Kempt  St-Alexandre , 32.97 tonne Chez Daniel Choquette  champ 16,   774 route 133 Henryville et 23.56 tonnes chez Ferme Réal et René Ryan  Noyan.. On a disposé de 1.1 mètre cube de déchets de dégrillage et 2.8 mètre cube de déchets de dessablage au 25 rue Gagnon St-Nycéphore.</t>
  </si>
  <si>
    <t xml:space="preserve">disposition de 8 m3  de boue  contrat avec une compagnie privée(lauzon) </t>
  </si>
  <si>
    <t>Le 22 mai 2020, 318,4 m3 de boues à 3% de siccité ont été pompées du bassin de stockage vers des camions citernes. Les boues sont valorisées directement au champ.</t>
  </si>
  <si>
    <t>22,7+21,8+19,8+18,8+20,3= 103.4 tonnes de boues déshydratées et enfouies par Viridis Environnement avec une siccité d'environ 18,4%</t>
  </si>
  <si>
    <t>Les boues sont acheminer par voyage (N=50 ) vers Valorisation agricole ,volume du mois est 594 m³ ,dune siccité de 15.57 % traiter du lundi au vendredi par trois F A B ,deux dégrémont (à air) et un mabarex (hydraulique) .</t>
  </si>
  <si>
    <t>Valorisation agricole, 745 rue St-Louis, St-Cyrille de Wendover, 143.75 tonnes métriques, _x000D_
siccité moyenne de 25.6% (boue biologique et septique), _x000D_
pressoir rotatif Fournier, 1er mai au 31 mai 2020, par camion dompeur.</t>
  </si>
  <si>
    <t>Transport et disposition: Englobe, Les Composts du Québec Inc._x000D_
Siccité: 28.7%_x000D_
Quantité: 140.96 t.m.</t>
  </si>
  <si>
    <t>Vidange de l'étang 2A. Date de début : 23 avril 2020, date de fin : 6 mai 2020._x000D_
Pompage des boues par dragage. Déshydratation des boues par centrifugeuse. Les boues sont déposées dans le lit de séchage à une siccité moyenne de 25%._x000D_
Quantité de boues totales étang 2A en 2020 : 580 TMS (17 435 m³) Siccité moyenne des boues : 3.33%_x000D_
Quantité de boues mai 2020 : 209.4 TMS (7212 m³) Siccité moyenne des boues : 2.9 %</t>
  </si>
  <si>
    <t>Les boues de Vaudreuil-Dorion ont été déshydratées par tambours rotatifs et centrifugation . Elles ont été valorisées par la suite par Viridis Environnement . Le total mensuel est de 586,3 tonnes humides à une siccité moyenne de 20,0 % . Les fermes Lebec Inc. ont reçu 109,17 tonnes , La Ferme Georges Quane enr. a reçu 270,9 tonnes et Patrice Dumont Legault ( Prestige D.L.) a reçu 206,23 tonnes.</t>
  </si>
  <si>
    <t>149 m3 de boue disposé chez VIRIDIS Environnement. Siccité moyenne: 24.0%.</t>
  </si>
  <si>
    <t>71 080 kg de boues d'une siccité moyenne de 15,0% sont envoyées en valorisation dans la Municipalité de Saint-Alexandre.</t>
  </si>
  <si>
    <t>219820 kg de boue à une siccité moyenne de 18.9% valorisé par la firme "viridis"</t>
  </si>
  <si>
    <t>Agrobiosol, 107.47 TM, siccité moyen de 23%, envoyé dans une benne par camion.</t>
  </si>
  <si>
    <t xml:space="preserve">332,2 tonnes métriques de boue à 20,3% de siccité. Valorisation des boues effectuée par Englobe (Mine BC1 SAL) du 1 au 14 mai.Valorisation des boues effectuée par Viridis environnement  (MINE BLACK LAKE) du 15 au 31 mai._x000D_
_x000D_
</t>
  </si>
  <si>
    <t>Épandage aux champs de la ferme G.C.G Goyette de 22 m3 de boues le 14 mai 2020</t>
  </si>
  <si>
    <t>103.55 kg</t>
  </si>
  <si>
    <t xml:space="preserve">Méthode de disposition: Camion citerne,_x000D_
Lieu de disposition: Chénéville,_x000D_
Quantité de boues 1: 36 m3,                                                         Quantité de boues 2: 21 m3,_x000D_
Siccité moyenne 1: 10 %,                                                               Siccité de moyenne 2: 3.3 %,_x000D_
Bassin: Chambres de vannes en arrière,                                        Bassin: Bassin #2,_x000D_
Date 1: 05-05-2020,                                                                       Date 2: 19-05-2020,_x000D_
Méthode utilisée: Vacuum.                                                            Méthode utilisée: Vacuum.                                                       _x000D_
_x000D_
_x000D_
</t>
  </si>
  <si>
    <t>Les boues sont transportées par camion benne au site de résidu minier de la East-Sullivan. 240.5 m3 avec une siccité moyenne de 15.8%</t>
  </si>
  <si>
    <t xml:space="preserve">Déchets retirés 1.50 mètres cubes_x000D_
</t>
  </si>
  <si>
    <t>Filtre a bande_x000D_
Barnston_x000D_
1 Mai 6tm 16.6%_x000D_
6 Mai 6tm 16%_x000D_
15 Mai 6.1tm 15.6%_x000D_
28 Mai 6.2tm 16.3%</t>
  </si>
  <si>
    <t>Élimination des boues à la station d'épuration de Sherbrooke d'un volume de 334 m3, avec une siccité de 4,2%.</t>
  </si>
  <si>
    <t>Disposition des déchets dans le conteneur à déchets_x000D_
Quantité: 1.40 m3</t>
  </si>
  <si>
    <t>Ouvrage municipal d'assainissement des eaux usées de Noyan</t>
  </si>
  <si>
    <t>Noyan</t>
  </si>
  <si>
    <t>la vidange a été effectué à l'aide de camion vaccum. la quantié de boue extraite du dessableur, bassin de boue et écumoirs du décanteur et de 98.77m3. la siccité moyenne étant de 3.5%</t>
  </si>
  <si>
    <t>83,53 TM de boues, déshydratées par filtre à bande avec une siccité moyenne de 19,1 %, soit 16,1 TMS, valorisées par la firme Épursol à Mirabel.</t>
  </si>
  <si>
    <t xml:space="preserve">1 329 521 kg de MS de boues d'une siccité moyenne de 28%  ont été disposée lors du mois de juin 2020 soit  503 480 kg de MS par incinération à la station d'épuration et 826 041 kg de MS par épandage. </t>
  </si>
  <si>
    <t>Durant le mois de juin il y a eu soutirage de boues par la méthode de draguage dans l'étang 1B pour un total enlevé de 2800 tonnes de matières sèches</t>
  </si>
  <si>
    <t>Un registre est disponible sur demande pour la disposition des boues</t>
  </si>
  <si>
    <t>station de pompage</t>
  </si>
  <si>
    <t>destination Nominingue</t>
  </si>
  <si>
    <t>Volume de déchets = 0,750 m³</t>
  </si>
  <si>
    <t xml:space="preserve">367,2 tonnes métriques de boue à 19,1% de siccité. Valorisation ds boues effectuée par Viridis environnement (MINE BLACK LAKE)_x000D_
_x000D_
</t>
  </si>
  <si>
    <t>Les boues sont disposées du lundi au vendredi par camion bennes de 14 M3 et déshydraté par filtre a bande._x000D_
La quantité totale de boues évacuées pour juin est de 184 M3 a une siccité moyenne de 18,9%</t>
  </si>
  <si>
    <t>Valorisation agricole, 745 rue St-Louis, St-Cyrille de Wendover, 141.7 tonnes métriques, _x000D_
siccité moyenne de 27,0% (boue biologique et septique), _x000D_
pressoir rotatif Fournier, 1er juin au 30 juin 2020, par camion dompeur.</t>
  </si>
  <si>
    <t xml:space="preserve">Méthode de disposition: Camion citerne,                                             Méthode de disposition: Camion citerne,  _x000D_
Lieu de disposition: Chénéville,                                                             Lieu de disposition: Chénéville,_x000D_
Quantité 1 de boues: 9 m3,                                                                  Quantité 2 de boues: 39 m3,_x000D_
Siccité 1 moyenne: 2.9 %,                                                                     Siccité 1 moyenne: _x000D_
Bassin: Bassin #2,                                                                                 Bassin: Bassin #2, _x000D_
Date 1: 09-Juin-2020,                                                                          Date 1: 30-Juin-2020,_x000D_
Méthode utilisée: Vacuum                                                                  Méthode utilisée: Vacuum_x000D_
</t>
  </si>
  <si>
    <t>cellule # 4_x000D_
début:20-05-23_x000D_
fin:20-06-17_x000D_
centrifugeuse_x000D_
330,38 tonnes métrique_x000D_
siccité:19.66%</t>
  </si>
  <si>
    <t>fait par camion_x000D_
champs valorisation agricole_x000D_
330,38 tonnes métrique_x000D_
19,66%_x000D_
cellule#4_x000D_
début:20-05-23_x000D_
fin:20-06-17_x000D_
centrifugeuse</t>
  </si>
  <si>
    <t>50 lts</t>
  </si>
  <si>
    <t>130.65kg</t>
  </si>
  <si>
    <t>Englobe, Les Composts du Québec_x000D_
Quantité: 121.08 t.m._x000D_
Siccité: 30.3%</t>
  </si>
  <si>
    <t>346750 kg de boue à une siccité moyenne de 18.8% valorisé par la firme "viridis"</t>
  </si>
  <si>
    <t>35 590 kg de boues d'une siccité moyenne de 15,8% sont envoyées en valorisation dans la Municipalité de Saint-Alexandre.</t>
  </si>
  <si>
    <t>Disposition de 1356.8 TM de boues à 42% de siccité par la firme Viridis</t>
  </si>
  <si>
    <t>Les boues sont éliminées à la station d'épuration de Sherbrooke, volume produit 246 m3, d'une siccité de 4,4 %.</t>
  </si>
  <si>
    <t>Vidange de 0,464 m3 le 22 juin 2020.</t>
  </si>
  <si>
    <t>Le 19 juin 2020, la vidange des boues a été effectuée aux cellules # 1 et 4.</t>
  </si>
  <si>
    <t>320 litres de rebus</t>
  </si>
  <si>
    <t>Filtre a bande_x000D_
Barnston_x000D_
11 Juin 5.29tm 15.6%_x000D_
23 Juin 5.7tm 16%_x000D_
30 Juin 5.9tm 15.6%</t>
  </si>
  <si>
    <t>Vidange de la fosse septique et nettoyage des 2 poste de pompage par soutirage de boues.</t>
  </si>
  <si>
    <t>du 01 au 30 juin 2020, les boues acheminées au bassin d'extraction, sont centrifugées a une siccité de 21%, cumulant 26.28tonnes a été disposé par viridis environnement à la ferme Benallan S.E.N.C.</t>
  </si>
  <si>
    <t>Agrobiosol, 99.54 TM, siccité moyen de 26%. Envoyé dans une benne par camion.</t>
  </si>
  <si>
    <t>Entreposage des boues aux champs et valorisation agricole. 594,4 TM à une siccité moyenne de 17%. Disposition au besoin chez Englobe (Compost du Québec à St-Henri)</t>
  </si>
  <si>
    <t>camion vaccum, 15 m3, siccite  3%,16/06/2020,</t>
  </si>
  <si>
    <t>vidange de l'étang 2 et 3 le 25 mai au matin jusqu'au 30 mai pm, la méthode utilisée est la déshydratation positive , le rapport n'est  pas encore sortie, l'étang 1 devrait se faire vidanger au mois d'août , on vous communique les résultats aussitôt reçu.</t>
  </si>
  <si>
    <t>La vidange s'est effectué par dragage. Le bassin #4 a été vidangé du 5 au 26 juin alors que le reste du bassin #1 le 29 juin. _x000D_
Le volume totale des boues retirées: 3530 m3_x000D_
Le volume des boues retirées dans le bassin #4: 3201 m3_x000D_
Le volume des boues retirées dans le bassin #1: 329 m3_x000D_
La siccité moyenne est de 4,1 %</t>
  </si>
  <si>
    <t xml:space="preserve">Déchets retirés par les dégrilleurs :  42 m3 _x000D_
Sable retiré par le ou les dessableurs : 40.91  tonnes. _x000D_
Disposition de 928.81  tonnes de boue à 24.47 % de siccité par Uteau Valorisation _x000D_
Disposition de 294.7 tonnes de granules à 96.09  % de siccité par Ralph M Lang Custom inc. Shawville. </t>
  </si>
  <si>
    <t>Les boues des 3 bassins( 2 bassins des biodisques et le bassin de décantation ) ont été pompées par camion vacuum et disposées au site de la régie intermunicipale de l'amiante. La quantité de boues est de 194.71 tonnes et la siccité moyenne est de 6 %. La vidange des 2 premiers bassins s'est faite le 10-11 juin 2020 et le dernier le 18 juin 2020.</t>
  </si>
  <si>
    <t>Méthode de disposition : Enfouissement Lieu de disposition : L.E.T. de la MRC de Charlevoix-Est Quantité de boues évacuée : environ 79 m3 (51.68 tonnes) provenant des bassins 1 et 2 Date d'opération du pressoir : 1-4-8-11-15-18-22-29. Siccité moyenne : 37.33% Bassin de boues 1 et 2.</t>
  </si>
  <si>
    <t>22.03 m3 de boues ont été soutirées du bassin de stockage le 16 juin par camion vacuum</t>
  </si>
  <si>
    <t xml:space="preserve">Les boues sont pompées en continue à partir de notre décanteur primaire ainsi que nos deux décanteurs secondaires pour être dirigées vers un cuvier de boues mixtes duquel les boues sont extraites avec l'aide de quatre presses à vis.  La siccité moyenne pour le mois de juin a été de 39,19%._x000D_
Les boues ont été disposées de deux façons:_x000D_
3795 tonnes ont été envoyées en valorisation agricole_x000D_
1261 tonne ont été revégétalisées à la Mine Jeffrey._x000D_
</t>
  </si>
  <si>
    <t>14m3 vider du bassin secondaire et envoyé a l usine d epuration a pembroke, ontario</t>
  </si>
  <si>
    <t>101 m3 de boue disposé chez VIRIDIS Environnement. Siccité moyenne: 26.2%.</t>
  </si>
  <si>
    <t>Vidange de la boue de la fosse septique municipal ainsi que le bassin avant et après les premier marais filtrants par vacuum. Début le 18 juin 2020 à 8h00 du matin pour finir à 17h00 le 18 juin 2020. Quantité des boues soutirée de 96,96 mètres cube. Siccité inconnu.</t>
  </si>
  <si>
    <t>La disposition des boues a été entièrement réalisé par Sani-Manic de Saint-Anaclet.</t>
  </si>
  <si>
    <t>158.27 Tonnes de boue, traitées par électro-déshydratation.  Siccité moyenne de 23.5%.  Disposées chez Néo M. Campeau, Rigaud (36) et chez M. Séguin St-Rédempteur (M6)</t>
  </si>
  <si>
    <t>Vacume 1 homme_x000D_
2 camion _x000D_
10 heures</t>
  </si>
  <si>
    <t>bon travail 29703_x000D_
4688.00 gallons_x000D_
Enviro5</t>
  </si>
  <si>
    <t xml:space="preserve"> On a disposé de 104.89 tonnes métriques de boue en valorisation. On a obtenu une siccité moyenne de 17.9 %. La boue est valorisé  au 1673 Chemin Kempt a St-Alexandre.  On a aussi disposé en enfouissement de 0.8  m3 de déchets de dé-grillage et de 2.8 m3 de déchets de dé sablage au 25 rue Gagnon St-Nycéphore.</t>
  </si>
  <si>
    <t>EBI, St-Thomas, 55.01 t.m. , 13.7 % de siccité moyenne</t>
  </si>
  <si>
    <t>1166 tonnes valorisées</t>
  </si>
  <si>
    <t>La fosse à boue a été vidée le 17 juin avec un camion vaccum. Elle est transportée au site d'enfouissement de la MRC de la vallée de l'or. 10.2 m3 de boue avec une siccité moyenne de 16.5 %.</t>
  </si>
  <si>
    <t>198.65 T.M. de boues déshydratées par la centrifugeuse à une siccité moyenne de 21.7% Les boues a été transportées pour être valorisées par Viridis . Déshydratation du 01 au 29 juin 2020 .</t>
  </si>
  <si>
    <t>Valorisation agricole. JMV Environnement. Quantité de 532,6 tonnes métriques de biosolides évacuée. Siccité moyenne de 27,6%.</t>
  </si>
  <si>
    <t>La station a enfouie 4028.38 tonnes de cendres au LET appartenant à la ville de Montréal.</t>
  </si>
  <si>
    <t xml:space="preserve">Méthode: Compostage et valorisation agricole (agriculteur). Lieu Gazon Savard et champs agricole. _x000D_
Quantité: 1452 T.M. et siccité de 15.6%_x000D_
</t>
  </si>
  <si>
    <t>Déshydratation des boues par centrifugeuse._x000D_
Valorisation par Viridis Environnement._x000D_
Quantité totale mensuelle: 90,48 Tonnes métrique_x000D_
Siccité moyenne: 23.9 %</t>
  </si>
  <si>
    <t>Système de presse a boues, l'évacuation ce fait par la société ENVIROCONNEXION, vers le site d'enfouissement de LACHENAIE._x000D_
La quantité de Boues évacués pour le mois de Juin est de 397.36 tonnes</t>
  </si>
  <si>
    <t>Cellule 2, 1 au 10 juin 2020, Déshydrations mécanique. 639.57 m3, 6.9% de siccité._x000D_
Cellule 3 10 au 16 juin 2020, Déshydratation mécanique. 601.46 m3.  5.7 % de siccité_x000D_
Cellule 4 17 au 22 juin 2020 Déshydrations mécanique. 742.96 m3, 6.3 % de siccité  _x000D_
Vidange de boue du 28 mai au 23 juin 2020.</t>
  </si>
  <si>
    <t>Déshydratation des boues par pressoir rotatif dont la siccité moyenne est de 23.5% Transport par camion vers le champs (valorisation) 291 T.M</t>
  </si>
  <si>
    <t xml:space="preserve">Valorisation à St-Chrysostome 247.51MH </t>
  </si>
  <si>
    <t xml:space="preserve">Les boues sont valorisées aux endroits suivants :  Ferme Lexya Holstein et Jersey SENC Plate-forme,        Vaillancourt, Mario (#1)/Structure et Fosse #2/Structure,         Élevage des Vallons/Structure,          Ferme les Trois C Inc. 8 et V10,       Ferme les Wapitis des beaux prés  7,          Stéphanie Bujold et Pascal Gagnon-Lalande senc S3,      Bergeron, Gilles Champ 3A.             1899.87  TM._x000D_
Siccité : 1 juin	16,12%	2juin  15,50%	3 juin  15,86%    4 juin  15,99%    5 juin   15,86%    6 juin   16,75%     7 juin	16,36%	9 juin   15,91%     10 juin    15,54%	  11 juin	18,54%12 juin	16,64%	15 juin	18,15%     16 juin	16,37%	17 juin	16,16%	18 juin	15,47%	19 juin	15,60%	20 juin	15,03%	22 juin	16,28%	23 juin	15,45%24 juin	16,80%	25 juin	15,95%	26 juin	15,74%	27 juin	16,30%	29 juin	16,74%	30 juin	16,07%_x000D_
	Moyenne mensuelle:  16,21%																					_x000D_
</t>
  </si>
  <si>
    <t>Nous avons revalorisé 119.6 tonnes de boues à la mine Jeffrey ayant une siccité moyenne de 24.05%.</t>
  </si>
  <si>
    <t>1199.54 tm à 17.32% de siccité disposées au site de compostage de Gesterra à St-Rosaire.</t>
  </si>
  <si>
    <t>disposition par enfouissement au site EBI, 48,58 m3, siccité moyenne de 11,4%</t>
  </si>
  <si>
    <t>Les boues de Vaudreuil-Dorion sont déshydratées par tambour rotatifs et centrifugeuses. Le volume total pour le mis de juin est de 549,86 tonnes humides avec une siccité moyenne de 21,2 % . Les boues sont ensuite valorisées par Viridis Environnement et Matrec . 343,05 tonnes sont allés chez Patrice Dumont Legault ( prestige D.L. ) , 93,12 Tonnes sont allés chez Néo M.groulx les Cèdres Champs 2 et 113,69 tonnes sont allés chez M. Séguin St-Rédempteur Champs 1.</t>
  </si>
  <si>
    <t>Boues déshydratées par un pressoir rotatif. 68,5m3 de boues ont été envoyées au LET de Gaspé avec une siccité moyenne de 26,96%.</t>
  </si>
  <si>
    <t xml:space="preserve">Lieu d'élimination pour l'enfouissement : Lachenaie pour  1256,2 TM avec siccité moyenne de 29,1%_x000D_
Déchets: dégrillée: 25,17TM_x000D_
               dessablée: 47,92 TM_x000D_
Aide coagulant: AE440 : 2550 kg_x000D_
</t>
  </si>
  <si>
    <t>Lieu d'élimination pour l'enfouissement : Lachenaie pour 773,8 TM avec siccité moyenne de 28,1%_x000D_
Déchets: dégrillée: 4,9 m3_x000D_
               dessablée: 2,8 m3</t>
  </si>
  <si>
    <t>Déshydratations quotidienne par Centrifugeuse, disposition ferme Benallan pour là  valorisation des boues, quantités disposées 73,09 tonnes métrique humides (THM), avec une siccités moyenne mensuelle de 24,9 %. Provenant de l'épaississeur.</t>
  </si>
  <si>
    <t>Pour le mois de Juin nous avons disposée de la boue à tous les jours. La siccité moyenne de la boue est de 18.3%_x000D_
Nous avons disposé une quantité totale de boue de 2185.08 Tonnes et le tout en revalorisation agricole.</t>
  </si>
  <si>
    <t>77,3 tonnes de boues ont été acheminées au site de Lafontaine et Fils à Nantes à une siccité moyenne de 18,3%.</t>
  </si>
  <si>
    <t>Les boues sont transportées par camion benne au site de résidu minier de la East Sullivan. 264.2 m3 ont étés disposés avec une siccité moyenne de 16.4%</t>
  </si>
  <si>
    <t>Valorisation agricole 983,9 TM - 91,95 Agrobiosol - 399,8TM Ferme Muzzi-Jeuris ch. Alberton - 150TM Ferme Marc Leblanc St-Anicet - 342,15TM Ferme Serge Lacoste Mercier</t>
  </si>
  <si>
    <t>vidange des boues de l'épaississeur vers le lit de séchage. Volume estimé à 41 m3. Siccité non-disponible.</t>
  </si>
  <si>
    <t xml:space="preserve">Lieu d'élimination pour l'enfouissement : Lachenaie pour 521,6 TM avec siccité moyenne de 30,6%_x000D_
Déchets: dégrillée: 14,6 m3_x000D_
               dessablée: 13,5 m3_x000D_
Aide coagulant: AE440 : 850 kg_x000D_
</t>
  </si>
  <si>
    <t>Date de sortie des boues: 05-11-18-22-26 juin. Quantité: 19.84-21.23-18.51-18.53-18.80 tonne. Siccité moyenne: 24.69%. Lieux de disposition: Gestion Juno et frères Inc.</t>
  </si>
  <si>
    <t>Nous avons fait évacuer des boues par camion vers l'usine d'épuration de Valleyfield via la compagnie Sanibert. Il est sortie 206 mètres cubes de boues liquides à une siccité moyenne de 1.4%. Nous avons concentré les boues dans le bassin #1 et la vidange à eu lieu le 20 juin 2020. Évacuation par camion vacuum.</t>
  </si>
  <si>
    <t>Débuté à la fin juin. Les données seront saisies dans le mois de juillet.</t>
  </si>
  <si>
    <t xml:space="preserve">Disposition des boues par enfouissement au site d'Enviro Connexion au chemin des 40-Arpents Terrebonne , 1595 m3 de boues évacuées avec une siccité moyenne de 23.89% , boues digérées par 2 digesteurs anaérobies du 1er au 30 juin 2020 et déshydraté par centrifugation. </t>
  </si>
  <si>
    <t>1 mètres cubes de déchets retirés</t>
  </si>
  <si>
    <t>48310 Kg disposée chez Campor inc. avec une siccité moyenne de 11%</t>
  </si>
  <si>
    <t>Ouvrage municipal d'assainissement des eaux usées de Deschambault</t>
  </si>
  <si>
    <t>avons vider environ 560 metre cube de boue bassin #2</t>
  </si>
  <si>
    <t>transport de boue vers fosse et valorisation par environnement Viridis sur une quantité environ 560 m cube en date du 1 juin a partir de 7 hrs am a 16 hrs pm</t>
  </si>
  <si>
    <t>Début de la vidange étang 2-4 le 17 mai jusqu'au 17 juin avec l'aide de 2 centrifugeuses: 2216,34. TMS La méthode de disposition utilisée est l'épandage. Si vous souhaitez toutes les adresses des champs, simplement me contacter et je vous donnerai les informations.</t>
  </si>
  <si>
    <t>Disposition par camion benne. Lieux de disposition: ferme Daniel Lalande, Saint-André: 547,03 m³et ferme Paul Bernet, Saint-Félix: 11,41 m³. Quantité totale pour le mois: 558,44 m³. Siccité moyenne: 24,3 %.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</si>
  <si>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40018 m3  _x000D_
Siccité moyenne : 4,16 %_x000D_
N.B. : Cette quantité comprend les boues des stations Est et Ouest combinées_x000D_
</t>
  </si>
  <si>
    <t>Les boues sont acheminer par voyage (N=68 ) vers Valorisation agricole ,volume du mois est 926 m³ ,dune siccité de 15.04 % traiter du lundi au vendredi par trois F A B ,deux dégrémont (à air) et un mabarex (hydraulique) .</t>
  </si>
  <si>
    <t>Transporté hebdomadairement par un camion déchet au site d'enfouissement sanitaire de la MRC de Lotbinière, la quantité de boues évacuée est de .50 m3._x000D_
_x000D_
Nous avons un système de dégrillage fin pour le traitement des eaux usées.</t>
  </si>
  <si>
    <t>Boues déshydratées. Quantité: 12.26 tonnes métriques. Siccité moyenne: 14.2 %. Lieu d'élimination des boues: Centre de transfert Vaudreuil-Dorion</t>
  </si>
  <si>
    <t>24,6+24+23+22,6+20,9+20,1+22,9+18,7+22,4= 199,2 tonnes de boues déshydratées et enfouies par Viridis Environnement avec une siccité d'environ 17%</t>
  </si>
  <si>
    <t>Valorisation de 604 tm de boues à 24.9 % de siccité</t>
  </si>
  <si>
    <t>Disposition des rebus dans le conteneur à déchets_x000D_
Quantité : 4.11 m3</t>
  </si>
  <si>
    <t>Transport et épandage en milieu agricole de 340 tonnes de boues à St-Blaise.  Boues déshydratées à l'automne 2019 des étangs #3 (dernier) et #2, siccité moyenne de 30 %</t>
  </si>
  <si>
    <t>cellule # 2,du 19 juin 2020 au 3 juillet 2020 par centrifuge _x000D_
cellule # 2 _x000D_
350.04 tonnes_x000D_
siccité moyenne de 29.39%</t>
  </si>
  <si>
    <t xml:space="preserve">par camion valorisation agricole cellule # 4 19 juin au 03 juillet 2020_x000D_
</t>
  </si>
  <si>
    <t>1 186 487 kg de MS de boues déshydratées d'une siccité moyenne de 28.7% ont été disposées lors du mois de juillet 2020 soit 536 717 kg de MS par incinération à la station d'épuration et 649 770 kg de MS par épandage.</t>
  </si>
  <si>
    <t>_x000D_
Déshydratation des boues par pressoir rotatif dont la siccité moyenne est de 23.5% Transport par camion vers le champs (valorisation) 296 T.M</t>
  </si>
  <si>
    <t>Étang 1A: durant tout le mois un total de 1800 tonnes de matières sèches a été extrait par la méthode de draguage_x000D_
Étang 2A: durant tout le mois un total de 900 tonnes de matières sèches a été extrait par la méthode de draguage</t>
  </si>
  <si>
    <t>Un registre est disponible sur demande pour les sites de dispositions</t>
  </si>
  <si>
    <t xml:space="preserve">Vidange des cellules 1 et 3. La vidange réalisée en 2019 était incomplète après vérification du sac de déshydratation à l'automne 2019._x000D_
Vidange le 13 juillet 2020. Pompage des boues et déshydratation dans un sac poreux._x000D_
Volume total de 240 m³, siccité moyenne de 1.1 %_x000D_
</t>
  </si>
  <si>
    <t>Valorisation agricole, 745 rue St-Louis, St-Cyrille de Wendover, 146.86 tonnes métriques, _x000D_
siccité moyenne de 24.5% (boue biologique et septique), _x000D_
pressoir rotatif Fournier, 1er juillet au 31 juillet 2020, par camion dompeur.</t>
  </si>
  <si>
    <t>Valorisation de 583 tm de boues transportées à 23,8 % de siccité.</t>
  </si>
  <si>
    <t>Valorisation agricole : Total de 893.47T.M.  - Agrobiosol 574,87 - Ferme Muzzi-Jeuris (Alberton) 62.3 T.M. - Ferme CPL Lacoste (Mercier) 256.3 T.M.</t>
  </si>
  <si>
    <t>Vidange des boues de l'épaississeur vers le lit de séchage. Volume estimé à 174 m3 . Siccité non-disponible.</t>
  </si>
  <si>
    <t xml:space="preserve">_x000D_
Déshydratations quotidienne par Centrifugeuse, disposition ferme lÉclatière S.E.N.S et aussi à la ferme Benallan ainsi que du Ruisseau pour là valorisation des boues, quantités disposées 101,56 tonnes métrique humides (THM), avec une siccités moyenne mensuelle de 23,7 %. Provenant de l'épaississeur._x000D_
</t>
  </si>
  <si>
    <t>Boues déshydratées. Quantité: 7.75 tonnes métriques. Siccité moyenne: 14.0 %. Lieu d'élimination des boues: Centre de transfert Vaudreuil-Dorion</t>
  </si>
  <si>
    <t>Déshydratation des boues par centrifugeuse._x000D_
Valorisation par Viridis Environnement._x000D_
Quantité totale mensuelle: 104.1 Tonnes métrique_x000D_
Siccité moyenne: 24.3 %</t>
  </si>
  <si>
    <t>5070.6 tonnes de cendres ont été enfouies au LET de la station d'épuration.</t>
  </si>
  <si>
    <t>Entreposage des boues aux champs et valorisation agricole. 504,54 TM à une siccité moyenne de 17,2%. Disposition au besoin chez Englobe (Compost du Québec à St-Henri)</t>
  </si>
  <si>
    <t>On a évacué 134.06 tonnes métriques de boues  d'une siccité de 18.57 % .     52.38tonnes métriques chez Daniel Choquette champ 16 774 route 133 Henryville QC j0j1e7 et81.68 tonnes métriques chez René Bessette Ferme Senc /structure 1673, rang Kempt St-Alexandre QC j0j1s0 On a aussi disposé de 2.9 mètres cube de déchets de dessablage et 1.7 mètres cubes de déchets de dégrillage   au 25 rue Gagnon St-Nycéphore.</t>
  </si>
  <si>
    <t>Il y a eu pompage de boues suivi d'une déshydratation dans l'étang #3 du 24-07-2020 au 30-07-2020. 622.47 tonnes métriques ont été pompées à une siccité moyenne de 29.53%. Pour un total de 181.28 tonnes métriques sèches de soutirées.</t>
  </si>
  <si>
    <t>Il y a eu pompage de boues suivi d'une déshydratation dans l'étang #3 du 24-07-2020 au 30-07-2020. 622.47 tonnes métriques ont été pompées à une siccité moyenne de 29.53%. Pour un total de 181.28 tonnes métriques sèches de soutirées._x000D_
180.57 tms de boues sont allées dans un champs sur greenlane road à Hawksbury, Ontario et 0.71 tms sont allées dans un conteneur à Waste Management.</t>
  </si>
  <si>
    <t>23+21,3+22,7+24,3+22,9+19,7+18,2+16,4+21,6= 190 tonnes de boues déshydratées et enfouies par Viridis Environnement avec une siccité d'environ 18,2%</t>
  </si>
  <si>
    <t>Transport et disposition: Englobe, Les Composts du Québec_x000D_
Quantité: 148.45 t.m._x000D_
Siccité: 28.8%</t>
  </si>
  <si>
    <t>Du 13 au 23 juillet 2020, une vidange des boues s'est effectués sur les eux étangs aérés. Il a été extrait 5850,86 mètre cube de boue avec une siccité moyenne de 3.21.</t>
  </si>
  <si>
    <t>Barnston_x000D_
Filtre a bande_x000D_
7 Juillet 5.8tm 15.4%_x000D_
15 juillet 5.7tm 15.7%_x000D_
16 juillet 6tm 15.5%_x000D_
23 juillet 5.8tm 15.6%_x000D_
24 juillet 5.5tm 15.3%_x000D_
28 juillet 5.9tm 15.7%_x000D_
31 juillet 6tm 15.1%</t>
  </si>
  <si>
    <t>Disposition par enfouissement au site d'enviro connexions 3779 chemin des 40 arpents Terrebonne Qc , 1691 m3 de boues évacuées siccité moyenne de 24% , 2 digesteurs anaérobiques du 1er au 31 juillet 2020 par centrifugation</t>
  </si>
  <si>
    <t>Ouvrage municipal d'assainissement des eaux usées d'Ham-Nord</t>
  </si>
  <si>
    <t>Ham-Nord</t>
  </si>
  <si>
    <t>Les boues ont été disposé du sac terratube dans lequel ils étaient depuis 8 ans._x000D_
Disposition de 187.9 tonnes par camion de transport vers des station d'entreposages à la Ferme JANAYO INC. le 16 juillet 2020. Le tout réalisé par Viridis Environnement.</t>
  </si>
  <si>
    <t>Méthode de disposition : Enfouissement Lieu de disposition : L.E.T. de la MRC de Charlevoix-Est Quantité de boues évacuée : environ 90 m3 (59.05 tonnes) provenant des bassins 1 et 2 Date d'opération du pressoir : 2-6-9-13-16-20-23-27-30. Siccité moyenne : 39.77% Bassin de boues 1 et 2.</t>
  </si>
  <si>
    <t>Vidange des étangs 1 et 3. La vidange réalisée en 2019 était incomplète après vérification du sac de déshydratation à l'automne 2019._x000D_
Vidange les 7, 8, 9 et 14 juillet 2020. Boues retirées par une drague et déshydratation dans un sac poreux._x000D_
Volume total de 2119 m³. Siccité moyenne de 4.13 %.</t>
  </si>
  <si>
    <t>856 tonnes à la valorisation</t>
  </si>
  <si>
    <t xml:space="preserve">environ 40 tonnes de disposition de boue. Dispositon fait par camion vaccium, lieu: Uteau, siccité: 30-45%, Bassin: les 2 décanteurs et les 2 clarificateurs. date 20 juillet au 28 juillet. </t>
  </si>
  <si>
    <t>Date de sortie des boues: 02-07-14-16-21-27-31 juillet. Quantité: 20.0-19.3-21.8-18.0-20.0-19.6-18.8 tonne. Siccité moyenne 26.0%. Lieu de disposition: Gestion Juno et Frères INC.</t>
  </si>
  <si>
    <t>OMAEU de la Régie d'assainissement des eaux du Grand Joliette</t>
  </si>
  <si>
    <t xml:space="preserve">la vidange a débutée dans l'étang no.1 du 21 au 31 juillet 2020_x000D_
Méthode :                                         Collecte des boues par dragage et séchage mécanique des boues par centrifugeuse électrique_x000D_
Siccité moyenne des boues :     30%_x000D_
Quantités enlevées :                     315 tonnes de masse sèche, donc environ 1000m³_x000D_
_x000D_
</t>
  </si>
  <si>
    <t>Les boues sont transportées par camion benne au site de résidu minier de la East-Sullivan. 312.7 m3 de boues avec une siccité moyenne de 16.5%</t>
  </si>
  <si>
    <t>Le 7 juillet 2020, nous avons vidé la fosse septique à l'aide d'un camion écureur. Le début et la fin de la vidange ont été effectués le même jour. Nous avons vidangé 6.146 m3 de boue à une siccité moyenne de 2.47 %. Les boues ont été disposés dans les bassins de la STEP de Rouyn-Noranda.</t>
  </si>
  <si>
    <t xml:space="preserve">le 28 juillet 2020 Deux camion de 3000 gallon chacun </t>
  </si>
  <si>
    <t>Lagune de Bouchette</t>
  </si>
  <si>
    <t>Ouvrage municipal d'assainissement des eaux usées de Rawdon</t>
  </si>
  <si>
    <t>Rawdon</t>
  </si>
  <si>
    <t xml:space="preserve">7 juillet: vidange étang 4, dragage sans déshydratation, quantité humide 265.87 m³, siccité moyenne de 3.66 %, quantité en tonne de matières sèches 9.68 _x000D_
29 juillet:  vidange étang 4, dragage sans déshydratation, quantité humide 815.17 m³, siccité moyenne de 3.94 %, quantité en tonne de matières sèches 32.18_x000D_
</t>
  </si>
  <si>
    <t>Disposition par Viridis ( valorisation et stockage en fosse)</t>
  </si>
  <si>
    <t xml:space="preserve">Une entreprise prend en charge la disposition des boues et transporte le tout directement à son usine._x000D_
La quantité de boues évacuée est de 0.91 m3 sur une période de 47 jours._x000D_
</t>
  </si>
  <si>
    <t>Vidanges des fosses le 9 juillet et 16 juillet. le volume 17000 gallons total</t>
  </si>
  <si>
    <t xml:space="preserve">Vidanger par Recyclage Jorg de Nominingue et les boues a leur site de Nominingue. </t>
  </si>
  <si>
    <t>105,22 TM de boues déshydratées par filtre à bandes à 16,5 % de siccité moyenne, soit 17,4 TMS, valorisées par la firme d'Épursol à Mirabel.</t>
  </si>
  <si>
    <t>Disposition des boues par camion benne. Lieux de dispositions: Ferme Daniel Lalande St-André: 45,16 m³, Ferme Benalian Lachute: 388,28 m³, Ferme Claude St-Sauveur: 22,32 m³, Ferme Coclair St-Edmond: 46,69 m³, Ferme Piroco Ste-Anne: 81,68 m³. Siccité moyenne: 25,4 %. Total des boues: 584,13 m³.</t>
  </si>
  <si>
    <t>Élimination des boues à la station d'épuration de Sherbrooke, volume de 231 m3, avec une siccité de 4.7%</t>
  </si>
  <si>
    <t>29820 kg disposé chez Campor inc. avec une siccité moyenne de 12.86%</t>
  </si>
  <si>
    <t xml:space="preserve">- Déchets retirés par les dégrilleurs :  36  m3. _x000D_
- Sable retiré par le ou les dessableurs :  26.61   tonnes. _x000D_
- Disposition de  585.01  tonnes de boues à 24.36  % de siccité par Uteau Valorisation. _x000D_
- Disposition de 210.71   tonnes de granules à 96.04  % de siccité par Ralph M Lang Custom Inc. Shawville. _x000D_
</t>
  </si>
  <si>
    <t>Pompage de 3987 m3 de boues liquide à 3 % de siccité de l'étang PM-1 vers le lit de gel-dégel-séchage.</t>
  </si>
  <si>
    <t>Ouvrage municipal d'assainissement des eaux usées de Princeville</t>
  </si>
  <si>
    <t>Princeville</t>
  </si>
  <si>
    <t>La vidange des boues a été effectué dans les bassin 1,2,3 et 4. La vidange a débuté par le bassin 1 le 23/07/2020 et s'est terminé par le bassin 3 le 21/08/2020.La vidange s'est effectué par dragage. 4 656 m3 ont été soutiré du bassin 1, 2238 m3 ont été soutiré du bassin 2, 6657 m3 ont été soutiré du bassin 3 et 451 m3 ont été soutiré dans le bassin 4. La siccité moyenne des boue des bassins est: 26.52%.</t>
  </si>
  <si>
    <t>La vidange des boues a été effectué dans les bassin 1,2,3 et 4. La vidange a débuté par le bassin 1 le 23/07/2020 et s'est terminé par le bassin 3 le 21/08/2020.La vidange s'est effectué par dragage. 4 656 m3 ont été soutiré du bassin 1, 2238 m3 ont été soutiré du bassin 2, 6657 m3 ont été soutiré du bassin 3 et 451 m3 ont été soutiré dans le bassin 4. La siccité moyenne des boue des bassins est: 26.52%. Le transport des boues s'est effectué par camion par Excent environnement, et les boues ont été disposé à 4 adressses différentes, soit: 7165 boul industriel Bécancour ; 1645 8e rang St-Valère ; 255 2e rang Daveluyville ; Rang des Cyprès St-Valère.</t>
  </si>
  <si>
    <t>Une vidange des boues a été effectué du 16 juillet au 19 août. Le rapport d'extraction n'est pas encore disponible.</t>
  </si>
  <si>
    <t>En attente des informations à ce jour.</t>
  </si>
  <si>
    <t>Système de presse a boues, l'évacuation ce fait par la société ENVIROCONNEXION, vers le site d'enfouissement de LACHENAIE._x000D_
La quantité de Boues évacués pour le mois de Juillet est de 413.5 tonnes</t>
  </si>
  <si>
    <t>les boues des deux fosses on été vidées le 14 juillet par camion vacuum pour un total de 42 m3</t>
  </si>
  <si>
    <t>les boues des fosses 42 m3 on été transportées par camion citerne au site de pompage sanitaire mont-tremblant</t>
  </si>
  <si>
    <t xml:space="preserve">946.52 tm à 18.14% de siccité envoyée au compostage au site de compostage de Gesterra à St-Rosaire </t>
  </si>
  <si>
    <t xml:space="preserve">EBI, Saint-Thomas, 13.7% de siccité moyenne , 49.38 t.m. </t>
  </si>
  <si>
    <t>164.13 Tonnes de boue traitées par Électro-Déshydratation.  Siccité moyenne 23.7%.  Lieux de disposition;  M. Legault, New Rin, Godmanchester, M Brunette, Rigaud (Champ 10), Néo M.Campeau, Rigaud 36 et Enviroconnexion enfouissement de déchets</t>
  </si>
  <si>
    <t>Vidange de boues dans l'étang #4 _x000D_
1308TMS entre le 24/06 et le 12/07, déshydratation mécanique 80% et passive 20%_x000D_
Siccité moyenne des boues soutirées estimée à 5%, ce qui correspond à un volume soutiré de 26 160 m³ (obtenu par calcul à partir des TMS soutirées)_x000D_
_x000D_
Vidange des boues dans l'étang #3_x000D_
109TMS les 13/07 et 14/07, déshydratation mécanique 80% et passive 20%_x000D_
Siccité moyenne des boues soutirées estimée à 5%, ce qui correspond à un volume soutiré de 2 170 m³ (obtenu par calcul à partir des TMS soutirées)</t>
  </si>
  <si>
    <t xml:space="preserve">Un total de 1167TMS (1080 provenant de l'étang 4 et 86 de l'étang 3) a été disposé entre le 24/06 et le 14/07. Environ 250TMS supplémentaire provenant des géotubes sera disposé en 2021._x000D_
_x000D_
Valorisation en champs agricoles (Épandage) :_x000D_
_x000D_
3145 Chemin des Quarante-Arpents, Terrebonne, QC J6V 9T6 --&gt; 128 TMS_x000D_
1278 Rang Double, St-Lin-Larentides, J6M 1X8 --&gt; 112 TMS_x000D_
54 Rang du Trait Carré, Sainte-Anne-des-Plaines, QC J0N 1H0 --&gt; 40 TMS_x000D_
939 Boulevard Arthur-Sauvé, Saint-Eustache, QC J7P 0A2 --&gt; 142 TMS_x000D_
13435  RANG SAINT DOMINIQUE Mirabel, QC J7N 1L2 --&gt; 132 TMS_x000D_
6531 Chemin du Curé Barrette, Terrebonne, QC J7M 1N1 --&gt; 144 TMS_x000D_
200 Route du Grand Saint Jacques, Maskinongé, QC J0K 1N0 --&gt; 203 TMS_x000D_
202 rue Saint-isidore, Terrebonne, QC --&gt; 75 TMS_x000D_
6121, Rang St-Vincent, Mirabel, J7N 2T5 --&gt; 180 TMS_x000D_
_x000D_
Enfouissement du conteneur de dégrillage chez WasteManagement :_x000D_
2535, 1ère rue, Sainte-Sophie J5J 25R --&gt; 11TMS_x000D_
_x000D_
</t>
  </si>
  <si>
    <t>vidange du bassin des boues par citerne avec pompe par la compagnie Viridis environnement le 8 juillet 63m3</t>
  </si>
  <si>
    <t>Le 13 juillet, 16,92 m3 de boues ont été pompés par camion vacuum.</t>
  </si>
  <si>
    <t xml:space="preserve">Lieu d'élimination pour l'enfouissement : Lachenaie pour 1 160,9 TM avec siccité moyenne de 27,2%_x000D_
Déchets: dégrillée: 21.09 TM_x000D_
               dessablée: 54.45 TM_x000D_
Aide coagulant: AE440 : 2700 kg_x000D_
</t>
  </si>
  <si>
    <t>Étang 3:  entre le 1 et 31 juillet 2020, 312 mètres cube _x000D_
Étang 4 : entre le 1 et 31 juillet 2020 , 156 mètres cube</t>
  </si>
  <si>
    <t xml:space="preserve">lit de séchage de phragmites </t>
  </si>
  <si>
    <t>Agrobiosol: 122.17 TMsiccité moyen 25% envoyé par camion dans une benne.</t>
  </si>
  <si>
    <t>282620 kg de boue  à une siccité moyenne de 18.5% valorisé par la firme" viridis"</t>
  </si>
  <si>
    <t>Boues déshydratées par un pressoir rotatif. 54,5m3 de boues ont été envoyées au LET de Gaspé avec une siccité moyenne de 29,72%.</t>
  </si>
  <si>
    <t xml:space="preserve">Méthode: Compostage et valorisation agricole (agriculteur). Lieu Gazon Savard et champs agricole. _x000D_
Quantité: 1123T.M. et siccité de 15.3%_x000D_
</t>
  </si>
  <si>
    <t xml:space="preserve">Bassin #3_x000D_
Date de début: 17 juillet 2020_x000D_
Date de fin de vidange: 27 Juillet 2020 _x000D_
Méthode: Aspiration et centrifugeuse_x000D_
Quantité soutirée: 500 tonnes à 25% de siccité._x000D_
Siccité moyenne: 23,5% après la centrifugeuse._x000D_
</t>
  </si>
  <si>
    <t xml:space="preserve">Lieu d'élimination pour l'enfouissement : Lachenaie pour 682,14 TM avec siccité moyenne de 30.7%_x000D_
Déchets: dégrillée: 4,9 m3_x000D_
               dessablée: 3,4 m3_x000D_
</t>
  </si>
  <si>
    <t xml:space="preserve">65 m3 de boues à 2.1% de siccité ont étés extraites du bassin 4 le 1er juillet avec un juggler.  </t>
  </si>
  <si>
    <t xml:space="preserve">65 m3 de boues à 2.1% de siccité ont étés extraites du bassin 4 le 1er juillet avec un juggler. Les boues ont étés transportés au site d'enfouissement de la MRC de la vallée de l'Or. </t>
  </si>
  <si>
    <t>12.3 m3 de boue disposée chez VIRIDIS Environnement.  Siccité moyenne: 25.5%.</t>
  </si>
  <si>
    <t>Valorisation agricole, JMV Environnement, 514,5 tonnes métriques. siccité moyenne de 35,36%.</t>
  </si>
  <si>
    <t>Vidange des boues du bassin no 1 date de début 1er Juillet et date de fin 17Juillet.  Méthode utilisée pompage dans des sacs. Quantité soutirée 276.69 mètres cube. siccité moyenne des boues soutirées est de 4.68%</t>
  </si>
  <si>
    <t xml:space="preserve">Lieu d'élimination pour l'enfouissement : Lachenaie pour 532,5 TM avec siccité moyenne de 31,5 %_x000D_
Déchets: dégrillée: 14,7 m3_x000D_
               dessablée: 18 m3_x000D_
Aide coagulant: AE440 : 925 kg_x000D_
</t>
  </si>
  <si>
    <t xml:space="preserve">Les boues sont valorisées aux endroits suivants;  Ferme les wapitis des beaux prés 7,    Bergeron, Gilles Champ 3A,      Entreprises Fermagri SENC 09,    Élevage des Vallons/Structure,_x000D_
  Ferme Janayo inc. 8,      Ferme Leylo S.E.N.C. 303 (ent),      Ferme des Sites enr. (SENC) champ 7,    Vaillancourt, Mario (#1)/Structure,     Ferme Thérox inc. 8,_x000D_
Larochelle, Stéphane Fosse/Structure.       1528,91  TM._x000D_
1 juillet	16,16%	2 juillet	16,46%	3 juillet	16,32%	4 juillet	16,63%	6 juillet	15,95%	7 juillet	16,88%	8 juillet	16,21%	9 juillet	16,52%	10 juillet	15,09%11 juillet	17,57%	13 juillet	16,45%	14 juillet	16,28%	15 juillet	16,84%    16 juillet	16,60%	17 juillet	16,78%	18 juillet	17,58%	20 juillet	18,21%	21 juillet	17,54%22 juillet	18,38%	23 juillet	17,48%	24 juillet	16,89%	25 juillet	17,09%	27 juillet	17,64%	28 juillet	17,34%	29 juillet	16,68%	30 juillet	16,86%    31 juillet	16,70%	Moyenne mensuelle:	16,86%																						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</si>
  <si>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37949 m3  _x000D_
Siccité moyenne : 4.49 %_x000D_
N.B. : Cette quantité comprend les boues des stations Est et Ouest combinées_x000D_
</t>
  </si>
  <si>
    <t>Le 8 juillet, c:est le début du problème d'ouverture de la vanne de rejet._x000D_
18 juillet, "by-pass". La vanne ne fonctionne plus. Le bassin est plein.</t>
  </si>
  <si>
    <t>du 01 au 31 juillet 2020, les boues acheminées au bassin d'extraction, sont centrifugées à une siccité de 22 %, cumulant 33.47 tonnes a été disposé par viridis environnement.</t>
  </si>
  <si>
    <t>Les boues sont pompées en continu à partir de notre décanteur primaire et de nos deux décanteurs secondaires pour être acheminées vers un cuvier de boues mixtes duquel sont extraites les boues avec l'aide de 4 presses à vis.  La siccité moyenne des boues ainsi traitées pour le mois de juillet ont été de 45.69%_x000D_
_x000D_
Les boues ont été disposées de trois façons_x000D_
516 tonnes vers un site d'enfouissement (parc Harmonie à Shawinigan)_x000D_
3825 tonnes en valorisation agricole_x000D_
875 tonne ont été revégétalisée à la Mine Jeffrey</t>
  </si>
  <si>
    <t>93,31 tonnes de boues ont été acheminées sur la plateforme de compostage de la Ville de Lac-Mégantic à une siccité de 17,7%.</t>
  </si>
  <si>
    <t>55 lts</t>
  </si>
  <si>
    <t xml:space="preserve">Bassin # 3, jour de juillet (14-15-20-22-23-24-27 et 28), Nombre d'heures en fonction ( 61,04 h), Pompe à boue (machine)_x000D_
</t>
  </si>
  <si>
    <t>Vidange du bassin des boues et de la mégafosse.</t>
  </si>
  <si>
    <t>Service sanitaire Harton.</t>
  </si>
  <si>
    <t>Nous avons revalorisé 156.4 Tonnes de boues ayant une siccité moyenne de 24.36 % à la mine Jeffrey.</t>
  </si>
  <si>
    <t xml:space="preserve">184.2 tonnes de boues déshydratées à la centrifugeuse à une siccité moyenne de 21.2%, sont envoyées à Saint- Alexandre et Bedford  à des fins de valorisation ultérieur par Viridis environnement. Déshydratation du 01 au 31 Juillet 2020. </t>
  </si>
  <si>
    <t>Les boues sont déshydratées par un filtre à bande du lundi au vendredi et transportées par camion benne de 14M3 en valorisation ou au compostage._x000D_
La quantité de boues déshydratées pur le mois de juillet est de 181 M3 à une siccité moyenne de 16,3%</t>
  </si>
  <si>
    <t>Les boues sont acheminer par voyage (N=66 ) vers Valorisation agricole et gazon savard ,volume du mois est 883 m³ ,dune siccité de 14.97 % traiter du lundi au vendredi par trois F A B ,deux dégrémont (à air) et un mabarex (hydraulique) .</t>
  </si>
  <si>
    <t>Disposition par enfouissement au site EBI, 37,21 m3 évacuées, siccité moyenne de 11,4%</t>
  </si>
  <si>
    <t>Pour le mois de Juillet, nous avons disposée de la boue pratiquement à tous les jours. La siccité moyenne de la boue pour le mois est de 19.2 %_x000D_
Nous avons disposée 1885.84 T de boue et la totalité a été envoyée en revalorisation agricole.</t>
  </si>
  <si>
    <t>350.3 tonnes métriques de boue à 19.1% de siccité. Valorisation des boues par Englobe, 332,55 envoyé à (Mine BC1 SAL) et 17,75 envoyé à Dany Rodrigue situé à Ste-Clotilde-de-Beauce.</t>
  </si>
  <si>
    <t>Valorisation à St-Chrysostome 255.63 MH</t>
  </si>
  <si>
    <t>51 730 kg de boues d'une siccité moyenne de 15,5% sont envoyées en valorisation dans la Municipalité de Saint-Alexandre.</t>
  </si>
  <si>
    <t>Disposition de 1218.2 TM de boue à 41% de siccité par la firme Viridis</t>
  </si>
  <si>
    <t>o,5 m3 dans un lieux autorisé</t>
  </si>
  <si>
    <t>Méthode:  Camion citerne,_x000D_
Lieu: Chénéville,_x000D_
Quantité 1: 28 m3,                                                         Quantité 2: 19 m3_x000D_
Siccité 1: 18%,                                                                Siccité 2: 2.4%_x000D_
Bassin: Chambres de vannes en arrière,                        Bassin: Bassin No 2_x000D_
Date 1: 03-07-2020,                                                       Date 2: 23-07-2020_x000D_
Méthode: Vacuum.</t>
  </si>
  <si>
    <t>Les boues de la station de Vaudreuil-Dorion ont été déshydratées par tambour rotatif et centrifugeuse. Le tonnage du mois de juillet est de 524,58 tonnes humides à une siccité moyenne de 20,6 % . Les boues ont été valorisées par la compagnie Matrec: 198,15 tonnes sont allés chez Néo M. Groulx Les Cèdres Champs 5 , 13 tonnes sont allés chez M. Séguin Ts-Rédempteur Champ 1 , 85,40 tonnes sont allés chez D. Leroux Ste-Justine de Newton et 228,03 tonnes sont allés chez M. Leboeuf Les Cèdres champ 101 E .</t>
  </si>
  <si>
    <t>Ouvrage municipal d'assainissement des eaux usées de Sainte-Ursule</t>
  </si>
  <si>
    <t>Nous avons envoyer au site d'enfouissement un sac de style géotube qui contenait la vidange 2006.  la quantité était d'un 12 roue avec son trailer de type pop. La siccité était de 83,5 pourcent environ</t>
  </si>
  <si>
    <t xml:space="preserve">déchets retirés 1 mètres cube 1/4 </t>
  </si>
  <si>
    <t>89.5 kg</t>
  </si>
  <si>
    <t>Disposition des rebus dans le conteneur à déchets_x000D_
Quantité : 4.58 m3</t>
  </si>
  <si>
    <t>Transport et valorisation en milieu agricole de 340 tonnes boues, déshydratée à l'automne 2019 provenant des deux derniers étangs de la station d'épuration, siccité 30% selon les analyses de mai 2020.  Les boues ont été transportées et épandues à St-Blaise-sur-Richelieu.</t>
  </si>
  <si>
    <t>Le surnageant des bassins EA-2 et EA-5 a été transféré vers l'étang #3 afin d'atteindre le niveau des boues. Une pompe installée dans le point le plus bas du bassins a permis d'envoyer les boues vers la centrifugeuse. Les boues ont été traitées sur place par centrifugation. Du 2020-08-18 au 2020-08-28: Cellule EA-5: 886.77 mètres cube ; Siccité moyenne: 20.63%. Du 2019-08-29 au 2019-08-31: Cellule EA-2: 189.16 mètres cube; Siccité moyenne: 20,32%.</t>
  </si>
  <si>
    <t>Les boues ont été disposées à des fins agronomiques (valorisation) Du 2020-08-18 au 2020-08-21 et du 2020-08-24 au 2020-08-27: Boues de la Cellule EA-5 -&gt; Site de disposition: Ferme Marc-André Chaput (3415 Chemin de la butte aux renard, Varennes): 384.01 mètres cube ; Siccité moyenne: 20.85%.  Du 2020-08-19 au 2020-08-25, le 2020-08-28 et le 2020-08-30 -&gt; Boues de la Cellule EA-5 et EA-2 -&gt; Site de disposition: André Lussier (1142 Rue du Général Vanier, Boucherville): 504.76 mètres cube ; Siccité moyenne: 19.85%. Le 2020-08-27, le 2020-08-29 et le 2020-08-31 -&gt; Boues de la Cellule EA-5 et EA-2 -&gt; Site de disposition: François Rivest (821 Rang Lustucru, Boucherville): 187.16 mètres cube ; Siccité moyenne: 21.42%.</t>
  </si>
  <si>
    <t>Étang 1B : 196 tonnes de matières sèches a été extrait par la méthode de draguage à travers le mois d'août.</t>
  </si>
  <si>
    <t>Un registre est disponible sur demande pour les sites de dispositions.</t>
  </si>
  <si>
    <t>Volumes solides : 1,38 m³</t>
  </si>
  <si>
    <t>_x000D_
Déshydratation des boues par pressoir rotatif dont la siccité moyenne est de 23.4% Transport par camion vers le champs (valorisation) 282 T.M</t>
  </si>
  <si>
    <t>Ouvrage municipal d'assainissement des eaux usées de Port-Cartier</t>
  </si>
  <si>
    <t>Port-Cartier</t>
  </si>
  <si>
    <t>Sept-Rivières</t>
  </si>
  <si>
    <t>La vidange des boues a commencé au niveau de l'étang 1, mais rapidement la vidange est arrêtée à cause de problémes techniques causés par la présence de sable. L'entrepreneur s'est mobilisé ou s'est déplacé vers l'étang 2, une opération qui a pris queqlues jours</t>
  </si>
  <si>
    <t xml:space="preserve">Aucune disposition à cause que l'opération s'est arrêtée au niveau de l'étang 1 comme mentionnée à la section « vidange« ci-haut. </t>
  </si>
  <si>
    <t>Ouvrage municipal d'assainissement des eaux usées de Saint-Ubalde</t>
  </si>
  <si>
    <t>Saint-Ubalde</t>
  </si>
  <si>
    <t>les bassin 1 et 3 ont été dragués du 22 aout au 26 aout_x000D_
  645m/3 dans l étang #1 siccité moyenne 3,13 _x000D_
  360m/3  dans l'étang #3 siccité moyenne 3,33</t>
  </si>
  <si>
    <t>Les travaux de vidange ont débutés en date du 31 août 2020. Les travaux devront terminer le 30 octobre 2020.</t>
  </si>
  <si>
    <t xml:space="preserve">- Déchets retirés par les dégrilleurs :  49  m3. _x000D_
- Sable retiré par le ou les dessableurs :    69.37 tonnes. _x000D_
- Disposition de 937.05   tonnes de boues à  21.18 % de siccité par Uteau Valorisation. _x000D_
- Disposition de 261.67   tonnes de granules à 95.79  % de siccité par Ralph M Lang Custom Inc. Shawville. _x000D_
</t>
  </si>
  <si>
    <t xml:space="preserve">Les boues ont été valorisées à la ferme R Bessette au 1673 Rang Kempt St-Alexandre Qc  joj iso . On a évacué 112.8 tonnes métriques de boues d'une siccité moyenne de 18.32%. On a disposé 2.8 M3 de sable et 0.6 m3  de déchets  au 25 Rue Gagnon St-Nycéphore </t>
  </si>
  <si>
    <t>95,31 TM de boues déshydratées par filtre à bandes à 19,2 % de siccité moyenne, soit 18,3 TMS, valorisées par la firme d'Épursol à Mirabel.</t>
  </si>
  <si>
    <t>Début de vidange des boue par dragage le 17 août dans l'étang 1A jusqu'au 02 septembre, la boue possédait une siccité moyenne de 23.03% pour une extraction totale de 2500 TMS</t>
  </si>
  <si>
    <t>Ouvrage municipal d'assainissement des eaux usées de Sainte-Julienne</t>
  </si>
  <si>
    <t>Sainte-Julienne</t>
  </si>
  <si>
    <t xml:space="preserve">Étang #1: 256.37 TMS. Étang #2:  11.70 TMS. Étang #3: 49.37 TMS. Siccité moyenne 32.4%. Début de la vidange le 13 août et fin de la vidange le 25 août. Drague et déshydratation sur place. </t>
  </si>
  <si>
    <t>Sur terre agricole: Site Israel au 2250 Chemin Comtois Terrebonne J6J X4H du 13 au 19 août et du 21 au 25 août. Quantité: 277.43 TMS.      Site Chartrand au 18905 Rue Victor Mirabel J7P 1P4. les 20 et 24 août. Quantité: 40.0 TMS. Siccité moyenne 32.4% dans les deux cas.</t>
  </si>
  <si>
    <t>Déchets retirés 1 mètre 3/4</t>
  </si>
  <si>
    <t>Ouvrage municipal d'assainissement des eaux usées de Saint-Adalbert</t>
  </si>
  <si>
    <t>Saint-Adalbert</t>
  </si>
  <si>
    <t>méthode de disposition :  Mise en amas au champ pour ensuite procéder à la valorisation agricole_x000D_
lieu de disposition : Champs RO7-RO8 (à St-Adalbert, lot 5347360) exploité par Monsieur Francis Chouinard_x000D_
quantité de boues évacuée en m³ : environ 18 m3_x000D_
siccité moyenne des boues évacuée en % : 28%_x000D_
identification du bassin ou de la cellule : cellule 4_x000D_
date de début et de fin de la vidange : la vidange de la cellule #4 sest effectuée en 2011 et 2016 et a été entreposé en géotube. Le géotube a été mis en amas le 27 août 2020 et sera valorisé à lautomne 2020._x000D_
méthode utilisée : camion benne et épandeur agricole solide._x000D_
une copie papier du plan Google pour identifier les amas est joints au document pour conservation</t>
  </si>
  <si>
    <t>Ouvrage municipal d'assainissement des eaux usées de Chertsey (Lac Clermoustier)</t>
  </si>
  <si>
    <t xml:space="preserve">vider les deux    fosses septique   le 12 aout par un contracteur  vidange complete               </t>
  </si>
  <si>
    <t>Barnston_x000D_
Filtre a Bande_x000D_
6 Aout 5­.6tm 17%_x000D_
11 Aout  5.8tm 16.8%_x000D_
18 Aout 6tm 15.7%_x000D_
21 Aout 6.1tm 15.4%</t>
  </si>
  <si>
    <t>Ouvrage municipal d'assainissement des eaux usées de Saint-Patrice-de-Sherrington</t>
  </si>
  <si>
    <t>Saint-Patrice-de-Sherrington</t>
  </si>
  <si>
    <t>bassin 1 et 3 vidangé, méthode passive avec sac de style terra tube utilisé. siccité de 3à5% en moyenne. 130 tonnes de matière sèche à été soutiré.820 metres cubes. la vidange à débuter le 17-08-2020 et s'est terminer le 31-08-2020.</t>
  </si>
  <si>
    <t>Méthode: Camion citerne,_x000D_
Lieu: Chénéville,_x000D_
Quantité 1: 31 m3,                                                                                 Quantité 2: 61 m3,_x000D_
Siccité 1:   2.4 %,                                                                                       Siccité 2: 15 %,_x000D_
Bassin:  Bassin No 2 ,                                                                              Bassin: Chambres de vannes,_x000D_
Date 1: 11-08-2020,                                                                                Date 2: 27-08-2020,_x000D_
Méthode: Vacuum.</t>
  </si>
  <si>
    <t>Transport et disposition: Englobe, Les Composts du Québec_x000D_
Siccité: 27.6% _x000D_
Quantité: 127.45 T.M.</t>
  </si>
  <si>
    <t>72.4 kg</t>
  </si>
  <si>
    <t>212160 kg de boue à une siccité moyenne de 18.6% valorisé par la firme "viridis"</t>
  </si>
  <si>
    <t>35,81 tms dans l'étang 1 et 39,43 tms dans l'étang no 2. Du 10 aout au 12 aout. La méthode utilisé par drague et désydratation passive. ( la matiere est présentement dans un sac sur le site de la station).</t>
  </si>
  <si>
    <t>Transporté hebdomadairement par un camion déchet au site d'enfouissement sanitaire de la MRC de  Lotbinière, la quantité de boues évacuée est de .60 m3._x000D_
_x000D_
Nous avons un système de dégrillage fin pour le traitement des eaux usées.</t>
  </si>
  <si>
    <t xml:space="preserve">70 m³ par ECC Environnement. </t>
  </si>
  <si>
    <t>Du 01 au 31 Aout 2020, les boues acheminées au bassin d'extraction, sont centrifugées à une siccité de 23%, cumulant 49.93 tonnes a été disposé par Viridis environnement.</t>
  </si>
  <si>
    <t xml:space="preserve">Méthode : transport par camion_x000D_
Lieu : _x000D_
Les Gazons Ste-Julie Ltée : 88,1 TMS_x000D_
J.C. Marcil et J.C. Marcil Jr. : 21,1 TMS_x000D_
Trudeau, Michel : 73,4 TMS_x000D_
Gauthier, Marc : 75,6 TMS_x000D_
9344-8694 Québec Inc. (Stéphane et Bruno Voghell) ; 79,1 TMS_x000D_
Ferme Abracio S.E.N.C : 114 TMS_x000D_
Ferme Grains d'Or Inc. : 87,5 TMS_x000D_
Date : 12 et 13 août 2020_x000D_
Siccité-moyenne : 27,6 %_x000D_
Boue entreposée dans des sacs_x000D_
</t>
  </si>
  <si>
    <t>Ouvrage municipal d'assainissement des eaux usées d'Huntingdon</t>
  </si>
  <si>
    <t>Huntingdon</t>
  </si>
  <si>
    <t>Nous avons procéder à la vidange des bassins 1 et 2a. Les travaux ont débutés le 3 août 2020 et ce sont terminés le 8 septembre 2020. Nous avons engager la compagnie Terrapure pour les travaux de vidange. Ils ont utiliser une drague pour soustraire les boues et ensuite ceux-ci étaient acheminées dans une centrifugeuse. Les volumes n'ont pas été calculés en m³ mais en tonnes matière sèches. Nous avons soutiré 1767 TMS. La moyenne de siccité était de 23.94%.</t>
  </si>
  <si>
    <t>Les boues soutirées des bassins 1 et 2a seront disposé sur des champs agricoles de la région selon le certificats d'autorisation émis par le MDELCC (réf.;7552-16-01-1421701 401940376) pour fin de valorisation. Les dates, méthodes, quantités et siccités sont mentionné dans la case de description de vidanges des boues ci-haut. Pour plus d'informations, veuillez nous contacter 450-601-3086</t>
  </si>
  <si>
    <t>Un total de 1057991 kg de MS de boues déshydratées ont été disposées soit 543 563 kg de MS par la firme JMV Environnement pour l'épandage et 514 428 kg de MS par incinération à la station d'épuration.</t>
  </si>
  <si>
    <t>75,95 tonnes de boues ont été acheminées sur la plateforme de compostage de la Ville de Lac-Mégantic à une siccité de 16,7%.</t>
  </si>
  <si>
    <t>Vidange du bassin d'accumulation des boues:_x000D_
- 8 août 2020 : 16 m cube_x000D_
- 9 août 2020 : 16 m cube_x000D_
-10 août 2020 : 45.27 m cube</t>
  </si>
  <si>
    <t>Méthode de disposition : Enfouissement Lieu de disposition : L.E.T. de la MRC de Charlevoix-Est Quantité de boues évacuée : environ 100 m3 (64.3 tonnes) provenant des bassins 1 et 2 Date d'opération du pressoir : 4-5-6-11-14-17-20-24-27. Siccité moyenne : 38.6% Bassin de boues 1 et 2.</t>
  </si>
  <si>
    <t xml:space="preserve">Valorisation des boues_x000D_
lieux: Ferme thérox inc. 8, Entreprises Fermagri SENS 9 , Larochelle, Stéphane (fosse/structure), Ferme Chagnon et Frères inc. (champ RT2), Andy Fréchette Rioux (28), Élevage des Vallons (structure), Robert Breault( côté maison), Gilles Bergeron (champ 3A), Ghislan Dubois (50)_x000D_
qté:1308.37 TM_x000D_
Siccité: 1	17,03      3     17,59   4    16,45	  5	16,47	6	16,62	7	15,75	8	15,99     10	17,18	11	16,78	12	16,80	13	16,50	14	16,16          17	15,89	18	16,85	19	16,98	20	16,38	21	16,71	22	16,20	25	16,45	26	16,15	27	16,7	28	17,26, 17,28_x000D_
31	16,96	Moyenne mensuelle:	16,61																						_x000D_
</t>
  </si>
  <si>
    <t>Pompage de 4063 m3 de boues liquide à 3 % de siccité de l'étang PM-1 vers le lit de gel-dégel-séchage.</t>
  </si>
  <si>
    <t xml:space="preserve">67220 kg disposée chez Campor inc. avec une siccité moyenne de 12.77% </t>
  </si>
  <si>
    <t>VALORISATION AGRICOLE, JMV ENVIRONNEMENT, 364 TONNES MÉTRIQUES ÉVACUÉES, SICCITÉ MOYENNE DE 37,6%</t>
  </si>
  <si>
    <t>Extraction de boue étangs 3 (étangs avec déphosphatation), du 17-07-2020 au 19-08-2020 pour un total d'environ 2060m3 (515 TMS) à une siccité de 25%. Les boues ont été retiré par dragage, puis centrifugé.</t>
  </si>
  <si>
    <t xml:space="preserve">Donc les boue extraite de l'étangs 3 (étangs avec déphosphatation), du 17-07-2020 au 19-08-2020 pour un total d'environ 2060m3 (515 TMS) à une siccité de 25%. et qui ont été extraite par dragage, puis centrifugé. On été épandu dans les lieux suivant:_x000D_
1358 rang de lAcadie à St-Antoine-sur-Richelieu, Bond de l'autoroute 30	Boucherville, Chemin de la Butte au Renards à Varennes, 246, Haut de Terre Noir à Verchères et 2957,rang de picardie à Varennes, selon les informations fournit par la compagnie Terapure._x000D_
</t>
  </si>
  <si>
    <t>Ouvrage municipal d'assainissement des eaux usées de Sainte-Béatrix</t>
  </si>
  <si>
    <t>Sainte-Béatrix</t>
  </si>
  <si>
    <t>Cellule #1_x000D_
début: 13 aout 2020_x000D_
fin : 13 aout 2020_x000D_
méthode: pompage_x000D_
quantité soutirée: 127,76m3_x000D_
siccité moyenne: 3.90%_x000D_
_x000D_
Cellule #2_x000D_
début: 13 aout 2020_x000D_
fin : 13 aout 2020_x000D_
méthode: pompage_x000D_
quantité soutirée: 263,57m3_x000D_
siccité moyenne: 3.93%</t>
  </si>
  <si>
    <t>méthode: Épandage_x000D_
lieu: Ferme Réjemas 2014 inc_x000D_
quantité évacuée: 127,76m3_x000D_
siccité moyenne 3,90%_x000D_
cellule #1_x000D_
début 13 aout 2020_x000D_
fin: 13 aout 2020_x000D_
méthode: pompage_x000D_
_x000D_
méthode: Épandage_x000D_
lieu: Ferme Réjemas 2014 inc_x000D_
quantité évacuée: 263.57m3_x000D_
siccité moyenne 3,93%_x000D_
cellule #2_x000D_
début 13 aout 2020_x000D_
fin: 13 aout 2020_x000D_
méthode: pompage</t>
  </si>
  <si>
    <t xml:space="preserve">Ouvrage municipal d'assainissement des eaux usées de Rouyn-Noranda (Arntfield-A) </t>
  </si>
  <si>
    <t>Nous avons vidangés les biosors 1, 2 et 3 par extraction à l'aide d'une pelle mécanique. Les travaux de vidange des boues s'est déroulés entre le 21 et le 28 août 2020.  88 m3 de boue a été vidangé à une siccité moyenne de 17.4%.</t>
  </si>
  <si>
    <t>La disposition des boues s'est faite par épandage agricole à la ferme Kléri R. Grenier s.e.n.c au 4385 rang Gauvin à Rouyn-Noranda. 88 m3 ont été évacuée avec un siccité moyenne de 17.4% provenant des Biosors 1, 2 et 3. La vidange des boues  a eu lieu entre le 21 et 28 août 2020 à l'aide d'une pelle mécanique.</t>
  </si>
  <si>
    <t xml:space="preserve">Les boues sont déshydratées par camion benne de 14M3 du lundi au vendredi par un filtre à bande._x000D_
La quantité total de boues évacuées pour le mois d'aout est de155 M3 à une siccité moyenne de 18.1%_x000D_
Elles vont soient en valorisation ou au compostage </t>
  </si>
  <si>
    <t>Les boues sont pompées en continu à partir de notre décanteur primaire et de nos deux décanteurs secondaires pour être dirigées vers un cuvier de boues mixtes duquel les boues mélangées sont redirigées vers 4 presses à vis.  La siccité moyenne des boues déshydratées était de 38.42% pour le mois d'août._x000D_
_x000D_
Les boues ont été disposées de trois manières:_x000D_
487 tonnes ont été enfouies dans le Parc Harmonie_x000D_
4034 tonnes ont été valorisées agricolement_x000D_
953 tonnes ont été envoyées en revégétalisation à la Mine Jeffrey</t>
  </si>
  <si>
    <t xml:space="preserve">Bassin # 3 jour de mois ( 3-4-5-6-7-10-11-12-13-14-17-18-20-21-24 et 25), Nombre d'heures en fonction ( 106 h ), Pompe à boue (machine)_x000D_
_x000D_
</t>
  </si>
  <si>
    <t>5 août: vidange étang 4, dragage sans déshydratation, quantité humide 427.66 m³, siccité moyenne de 3.89 %, quantité en tonne de matières sèches 16.65: 6 août: vidange étang 4, dragage sans déshydratation, quantité humide 836.81 m³, siccité moyenne de 4.22 %, quantité en tonne de matières sèches 35.18 / 7 août: vidange étang 4, dragage sans déshydratation, quantité humide  565.88 m³, siccité moyenne de 3.38 %, quantité en tonne de matières sèches 19.07</t>
  </si>
  <si>
    <t>4618.47 tonnes de cendres ont été enfouies au LET de la station d'épuration et 1790.4 tonnes de fertili cendres ont été valorisées en épandage agricole.</t>
  </si>
  <si>
    <t>Valorisation de 536 tm de boues déshydratées à 26 % de siccité.</t>
  </si>
  <si>
    <t>0,5 m3</t>
  </si>
  <si>
    <t>5   m3 de boue solide ,ramassée par un contacteur   (LAUZON)</t>
  </si>
  <si>
    <t>Le rapport de Terrapure donne 155,89 TMS, disposé sur des terrains domiciliaires. Si vous avez besoin de plus d'information, il me fera plaisir de vous les acheminer.</t>
  </si>
  <si>
    <t>366,7 tonnes métriques de boue à 18,8% de siccité. Valorisation des boues par Viridis environnement. (Mine Black Lake, Dany Rodrigue Ste-Clothilde-de-Beauce et Sauveur Poulin St-Martin)</t>
  </si>
  <si>
    <t xml:space="preserve">Valorisation agricole, 745 rue St-Louis, St-Cyrille de Wendover, 89.53 tonnes métriques, _x000D_
siccité moyenne de 26.2% (boue biologique et septique), _x000D_
pressoir rotatif Fournier, 1er août au 31 août 2020, par camion dompeur._x000D_
</t>
  </si>
  <si>
    <t>Valorisation agricole  897.88 TM - Agrobiosol et Champs agricole CA</t>
  </si>
  <si>
    <t xml:space="preserve">554.12 tm humides à 16.12% au site de compostage de Gesterra à St-Rosaire </t>
  </si>
  <si>
    <t>Vidange des boues de l'épaississeur vers le lit de séchage. Volume estimé à 87,4 m3. Siccité non-disponible.</t>
  </si>
  <si>
    <t>Élimination des boues à la station d'épuration de Sherbrooke, volume de 226 m3 avec une siccité de 4.1%</t>
  </si>
  <si>
    <t>34 690 kg de boues d'une siccité moyenne de 15,9% sont envoyées en valorisation dans la Municipalité de Saint-Alexandre.</t>
  </si>
  <si>
    <t>Déshydratation des boues par centrifugeuse._x000D_
Valorisation par Viridis Environnement._x000D_
Quantité totale mensuelle: 85.2 Tonnes métrique_x000D_
Siccité moyenne: 24,9 %</t>
  </si>
  <si>
    <t>Système de presse a boues, l'évacuation ce fait par la société ENVIROCONNEXION, vers le site d'enfouissement de LACHENAIE._x000D_
La quantité de Boues évacués pour le mois d' Aout est de  409.4 tonnes</t>
  </si>
  <si>
    <t>EBI, Saint-Thomas, 15.0% de siccité moyenne, 24,10 t.m.</t>
  </si>
  <si>
    <t xml:space="preserve">Étang #1 : _x000D_
_x000D_
Début de la vidange :                                    1 août_x000D_
Fin de la vidange :                                          19 août_x000D_
Méthode :                                                         Collecte des boues par dragage et séchage mécanique des boues par centrifugeuse électrique_x000D_
Siccité moyenne des boues :                                    26%_x000D_
Quantités enlevées :                                    430 tonnes de masse sèche, donc environ 1650m³_x000D_
_x000D_
Étang #2: _x000D_
_x000D_
Début de la vidange :                                    21 août_x000D_
Fin de la vidange :                                          31 août_x000D_
Méthode :                                                         Collecte des boues par dragage et séchage mécanique des boues par centrifugeuse électrique_x000D_
Siccité moyenne des boues :                                    25%_x000D_
Quantités enlevées :                                    412 tonnes de masse sèche, donc environ 1650m³_x000D_
_x000D_
</t>
  </si>
  <si>
    <t xml:space="preserve">Étang #1 : _x000D_
_x000D_
Début de la vidange :                                    1 août_x000D_
Fin de la vidange :                                          19 août_x000D_
Méthode :                                                         Collecte des boues par dragage et séchage mécanique des boues par centrifugeuse électrique_x000D_
Siccité moyenne des boues :                                    26%_x000D_
Quantités enlevées :                                    430 tonnes de masse sèche, donc environ 1650m³_x000D_
Disposition :                                                      Revalorisation dans différents champs agricoles de la Région_x000D_
_x000D_
Étang #2: _x000D_
_x000D_
Début de la vidange :                                    21 août_x000D_
Fin de la vidange :                                          31 août_x000D_
Méthode :                                                         Collecte des boues par dragage et séchage mécanique des boues par centrifugeuse électrique_x000D_
Siccité moyenne des boues :                                    25%_x000D_
Quantités enlevées :                                    412 tonnes de masse sèche, donc environ 1650m³_x000D_
Disposition :                                                      Revalorisation dans différents champs agricoles de la Région_x000D_
</t>
  </si>
  <si>
    <t>Déshydratations quotidienne par Centrifugeuse, disposition ferme lÉclatière S.E.N.S et aussi à la ferme Benallan pour la de valorisation des boues, quantités disposées 95,5 tonnes métrique humides (THM), avec une siccités moyenne mensuelle de 23,6 %. Provenant de l'épaississeur</t>
  </si>
  <si>
    <t>Disposition de 1260,7 TM de boue à 39% de siccité par la firme Viridis</t>
  </si>
  <si>
    <t>La vidange du bassin #1 a débuté le 4-08-2020 et terminé le 12-04-2020. La quantité de boue soutirée est de 4768 m3 ou 228.59 tonnes métrique. La siccité moyenne est de 4,31%.</t>
  </si>
  <si>
    <t>Les boues en provenance du bassin 1 sont stockées dans le lit gel/dégel pour 1 année. La vidange du bassin #1 a débuté le 4-08-2020 et terminé le 12-04-2020. La quantité de boue soutirée est de 4768 m3 ou 228.59 tonnes métrique. La siccité moyenne est de 4,31%</t>
  </si>
  <si>
    <t>Une déshydratation par centrifugeuse a eu lieu du 1er au 31 août 2020. Le volume total est de 165.06 tonne avec une siccité de 22%. Les boues ont été disposée pour une revalorisation agricole par la firme Viridis Environnement.</t>
  </si>
  <si>
    <t>Disposé à East-Angus</t>
  </si>
  <si>
    <t xml:space="preserve">Lieu d'élimination pour l'enfouissement : Lachenaie pour 453,6 TM avec siccité moyenne de 32,6%_x000D_
Déchets: dégrillée: 13,9 m3_x000D_
               dessablée: 15,9 m3_x000D_
Aide coagulant: AE440 : 1250 kg	_x000D_
</t>
  </si>
  <si>
    <t>Entreposage des boues aux champs et valorisation agricole. 485,15 TM à une siccité moyenne de 18,2%. Disposition au besoin chez Englobe (Compost du Québec à St-Henri).</t>
  </si>
  <si>
    <t>Ouvrage municipal d'assainissement des eaux usées de Cantley (Lafortune)</t>
  </si>
  <si>
    <t>Cantley</t>
  </si>
  <si>
    <t>Chanbre du déversoir le 6 Aout par camion vaccuum. Volume soutiré: 0.45m3. La siccité n'a pas été mesurée</t>
  </si>
  <si>
    <t>La chaine de traitement se résume à épaissir les boues puis les déshydrater</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</si>
  <si>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37495 m3  _x000D_
Siccité moyenne : 4.60 %_x000D_
N.B. : Cette quantité comprend les boues des stations Est et Ouest combinées_x000D_
</t>
  </si>
  <si>
    <t xml:space="preserve">Lieu d'élimination pour l'enfouissement : Lachenaie pour 979,3TM avec siccité moyenne de 26,5%_x000D_
Déchets: dégrillée: 25,58TM_x000D_
               dessablée: 0,0TM_x000D_
Aide coagulant: AE440 : 2300 kg	_x000D_
</t>
  </si>
  <si>
    <t>Lieu d'élimination pour l'enfouissement : Lachenaie pour 605,9 TM avec siccité moyenne de 30,2%_x000D_
Déchets: dégrillée: 3,1 m3_x000D_
               dessablée: 2,5 m3</t>
  </si>
  <si>
    <t>184 tonnes de boues ont été disposé sur les aldes de mine Jeffrey pour revégétalisassions</t>
  </si>
  <si>
    <t>Ouvrage municipal d'assainissement des eaux usées de Prévost</t>
  </si>
  <si>
    <t>Prévost</t>
  </si>
  <si>
    <t>Étang numéro 3_x000D_
30 juillet au 3 août 2020_x000D_
Travaux de pompage et déshydratation des boues_x000D_
101.72 tonnes de matières sèches_x000D_
17.89% siccité moyenne</t>
  </si>
  <si>
    <t xml:space="preserve">Transport et disposition vers des sites autorisés_x000D_
Lieux : Israël, 2255, ch. Comptois à Terrebonne et Ferme Chartrand 18905, rue Victor à Mirabel_x000D_
101.72 tonnes de matières sèches_x000D_
17.89% siccité moyenne_x000D_
Étang numéro 3_x000D_
30 juillet au 3 août 2020_x000D_
Méthode pour la vidange : Travaux de pompage et déshydratation des boues_x000D_
</t>
  </si>
  <si>
    <t>disposition par enfouissement au site EBI, 40,02m3, siccité moyenne de 11,4%</t>
  </si>
  <si>
    <t xml:space="preserve">Vidange du bassin 3, méthode traditionnelle avec abaissement du bassin et pompage par un agriculteur. Début 31 août, fin 1er septembre. _x000D_
Quantité soutirée : 1679 m3. Un rapport détaillé pourra être disponible sur demande pour connaître avec précision la siccité moyenne. </t>
  </si>
  <si>
    <t>Vidange du bassin 3, méthode traditionnelle avec abaissement du bassin et pompage par un agriculteur. Début 31 août, fin 1er septembre. _x000D_
Quantité soutirée : 1679 m3. Un rapport détaillé pourra être disponible sur demande pour connaître avec précision la siccité moyenne. _x000D_
Épandage Ferme du Clan Gagnon, Rang du Poste, Québec 169 ( Responsable Stéphane Gagnon)</t>
  </si>
  <si>
    <t xml:space="preserve">Méthode: Compostage et valorisation agricole (agriculteur). Lieu Gazon Savard et champs agricole. _x000D_
Quantité: 860.6 T.M. et siccité de 15.6%_x000D_
</t>
  </si>
  <si>
    <t>Disposition par camion benne. Lieux de disposition: Ferme Benallan Lachute: 146,73 m³; Ferme Coclair Saint-Edmond: 57,04 m³; Ferme Pirocco Sainte-Anne: 298,48 m³. Siccité moyenne: 25 %. TOTAL DES BOUES: 502,25 m³.</t>
  </si>
  <si>
    <t>Pour le mois d'août nous avons disposée de la boue pratiquement à tous les jours.  La siccité moyenne de la boue est de 18.4%._x000D_
Nous avons disposée une quantité total de boue de 1909.02 T et le tout à été envoyé en revalorisation agricole.</t>
  </si>
  <si>
    <t>Agrobiosol: 94.33 TM à 24% envoyé par camion dans une benne.</t>
  </si>
  <si>
    <t>Électro-déshydratation  pour valorisation agricole pour: M.Legault New Rin, M.Brunet champ 10 et Neo M.Campeau Rigaud 36. 157,9 m3 à 21.7% de siccité moyenne.</t>
  </si>
  <si>
    <t>Ouvrage municipal d'assainissement des eaux usées de Saint-Patrice-de-Beaurivage</t>
  </si>
  <si>
    <t>Saint-Patrice-de-Beaurivage</t>
  </si>
  <si>
    <t>Étang No 1 vidangé le 19 aout 2020 par aspiration 841 .53 mètre cube humides avec une siccité de 4.30 %               36.287 mètre cube sèche_x000D_
Étangs No 3 vidangé le 20 et 21 Aout 2020 par aspiration 891.18 mètre cube humides avec une siccité de 4.65 %      41.912 mètres cube sèche</t>
  </si>
  <si>
    <t xml:space="preserve">Par valorisation agricole : _x000D_
596.30 Tonnes humides avec 4.3 % de siccité moyenne sur 18e voyages 25.54 M/S  à la Ferme Gyga Lait Inc. au 853    8  Rang Sud Sacré Cur de Jésus G0N1G0   Lot 5383757 Étang no 1_x000D_
245.14 Tonnes humides avec 4.4 % de siccité moyenne sur 7e Voyages 10.74  M/S  à la Ferme J.S. Nadeau Inc 770  7 Rang Sud Sacré Cur De Jésus  G0N1G0   Lot 4544674 Étang no 1_x000D_
509.80 Tonnes humides avec 4.7 % de siccité moyenne sur 15 Voyages 23.74 M/S à la Ferme Cedar Grove SENC  881 Route Dublin Inverness C0S1K0    _x000D_
Étang no 3_x000D_
381.38 Tonnes humides avec 4.8 % de siccité moyenne sur 11 Voyages 18.18 M/S à la Ferme G.R.Y. CLM. INC.    5190 Rue de l'Église Thedford Mine  G6H3C2    _x000D_
Étang  no 3 _x000D_
_x000D_
</t>
  </si>
  <si>
    <t>Les boues sont acheminer par voyage (N=45 ) vers Valorisation agricole et gazon savard ,volume du mois est 593 m³, dune siccité de 14.71 %  traiter du lundi au vendredi par trois F A B ,deux dégrémont (à air) et un mabarex (hydraulique) .</t>
  </si>
  <si>
    <t>668,97 tonnes</t>
  </si>
  <si>
    <t>Boues déshydratées. Quantité: 13.23 tonnes métriques. Siccité moyenne: 14.2 %. Lieu d'élimination des boues: Centre de transfert Vaudreuil-Dorion</t>
  </si>
  <si>
    <t>Le 26 Aout, 10.2 m3 de boue ont été disposées de la fosse à boue avec un juggler vers le site d'enfouissement de la MRC de la vallée de l'or. La siccité moyenne est de 16.5%.</t>
  </si>
  <si>
    <t>Date de sortie des boues; 04-10-12-18-24-28 aout. Quantité: 19.1-20.8-18.6-20.5-19.8-19.0 tonne. siccité moyenne: 28.9%. Lieu de disposition: Gestion Juneau et Frères Inc.</t>
  </si>
  <si>
    <t xml:space="preserve">Une entreprise prend en charge la disposition des boues et transporte le tout directement à son usine._x000D_
La quantité de boues évacuée est de 0.80 m3 sur une période de 42 jours._x000D_
</t>
  </si>
  <si>
    <t>Les boues sont transportées par camion benne au site de résidu minier de la East-Sullivan. 124 m3 de boues au total avec une siccité moyenne de 17.3%.</t>
  </si>
  <si>
    <t>Ouvrage municipal d'assainissement des eaux usées de Saint-François-du-Lac</t>
  </si>
  <si>
    <t>Saint-François-du-Lac</t>
  </si>
  <si>
    <t>Les détails apparaîtra dans le prochain rapport</t>
  </si>
  <si>
    <t>Boues déshydratées par un pressoir rotatif. 55,5m3 de boues ont été envoyées au LET de Gaspé avec une siccité moyenne de 31,57%.</t>
  </si>
  <si>
    <t>Valorisation à St-Chrysostome 238.76MH</t>
  </si>
  <si>
    <t xml:space="preserve">Disposition par enfouissement au site d'environ Connexion siué au 3779 chemin des 40-arpents , Terrebonne. 1675 m3 de boues évacuées avec une siccité moyenne de 23.5 % , traité par 2 digesteurs anaérobies du 1er au 31 aout 2020, boue épaissit par centrifugation  </t>
  </si>
  <si>
    <t>Les boues produites à l'usine d'épuration ont été déshydratées par tambour rotatif et centrifugeuse. Le volume total du mois est de 512,23 tonnes humides avec une siccité moyenne de 20,3 % . Les boues ont été valorisées par Matrec Inc. . 146,23 tonnes sont allés chez M.Brunette à Rigaud Champ 10 ; 171,76 tonnes sont allés chez Néo M.Groulx St.Polycarpe champ 5 ; 58,36 tonnes sont allés chez M.Gamelin St-Polycarpe Champ 20 ; 12,11 tonnes sont allés chez M.Leroux Ste-justine de Newton et 123,77 tonnes sont allés chez M. leboeuf les Cèdres Champ 101 E</t>
  </si>
  <si>
    <t>disposition des rebus dans le conteneur a déchets_x000D_
Quantité: 2.68 m3</t>
  </si>
  <si>
    <t>Valorisation en milieu agricole de 200 tonnes de boues à Ste-Brigide-d'Iberville et 511 tonnes à St-Jean-sur-Richelieu.  Les boues déshydratées à l'automne 2019 proviennent des deux derniers étangs et ont une siccité de 30 %.</t>
  </si>
  <si>
    <t>Le surnageant des bassins EA-1, EA-2, EA-6 et EA-6 a été transféré vers l'étang #3 afin d'atteindre le niveau des boues. Une pompe installée dans le point le plus bas du bassins a permis d'envoyer les boues vers la centrifugeuse. Les boues ont été traitées sur place par centrifugation. Du 2020-09-01 au 2020-09-09: Cellule EA-2: 236.38 mètres cube ; Siccité moyenne: 22.25%. Du 2019-09-09 au 2019-09-13: Cellule EA-2: 206.68 mètres cube; Siccité moyenne: 21,27%.</t>
  </si>
  <si>
    <t>Les boues ont été disposées à des fins agronomiques (valorisation) Du 2020-09-01 au 2020-09-09 et le 2020-09-13: Boues de la Cellule EA-2 et EA-6 -&gt; Site de disposition: François Rivest (821 Rang Lustucru, Boucherville, J4B 5E4): 255.19 mètres cube ; Siccité moyenne: 22.36%. Du 2020-09-09 au 2020-09-12 -&gt; Boues de la Cellule EA-2 et EA-6 -&gt; Site de disposition: Marc-André Chaput (3415 chemin de la Butte aux Renards, Varennes): 187.87 mètres cube ; Siccité moyenne: 20.98%. Rebuts -&gt; Site de disposition:  RCI (2355 chemin du Lac, Longueuil) 5.5 mètres cube.</t>
  </si>
  <si>
    <t>_x000D_
Déshydratation des boues par pressoir rotatif dont la siccité moyenne est de 23.5% Transport par camion vers le champs (valorisation) 342 T.M</t>
  </si>
  <si>
    <t>Volume de solide : 1,47 m³</t>
  </si>
  <si>
    <t>Méthode: Camion citerne,                                                         Méthode: Camion citerne,_x000D_
Lieu: Chénéville,                                                                         Lieu: Chénéville,_x000D_
Quantité: 23 m3,                                                                     Quantité: 23 m3,_x000D_
Siccité: 2.4 %,                                                                          Siccité: 4.6 %,_x000D_
Bassin: Bassin # 2,                                                                   Bassin: Bassin # 2,_x000D_
Date: 01-09-2020,                                                                   Date: 24-09-2020,_x000D_
Méthode: Vacuum.                                                                  Méthode: Vacuum.</t>
  </si>
  <si>
    <t>Ouvrage municipal d'assainissement des eaux usées de Saint-Séverin (Beauce)</t>
  </si>
  <si>
    <t>Marais artificiel de type Écophyltre-T</t>
  </si>
  <si>
    <t>Saint-Séverin</t>
  </si>
  <si>
    <t>VIDÉ BASSIN 1, DÉBUT ET FIN VIDANGE 22 SEPTEMBRE 2020, POMPAGE PAR CAMION,15.3 M3 DE SOUTIRÉ, 95%_x000D_
_x000D_
VIDÉ BASSIN 2, DÉBUT ET FIN VIDANGE 22 SEPTEMBRE 2020, POMPAGE PAR CAMION, 6.56 m3 DE SOUTIRÉ, 95%</t>
  </si>
  <si>
    <t>DISPOSÉ PAR LA MUNICIPALITÉ DE ST-JOSEPH.</t>
  </si>
  <si>
    <t>Nous avons procéder à la vidange des bassins 1 et 2a. Les travaux ont débutés le 3 août 2020 et ce sont terminés le 8 septembre 2020. Nous avons engager la compagnie Terrapure pour les travaux de vidange. Ils ont utiliser une drague pour soustraire les boues et ensuite ceux-ci étaient acheminées dans une centrifugeuse. Les volumes n'ont pas été calculés en m³ mais en tonnes matière sèches. Nous avons soutiré 1767 TMS. La moyenne de siccité était de 23.94%._x000D_
_x000D_
Note : La description doit minimalement comprendre les informations suivantes : identification du bassin ou de la cellule, date de début et de fin de la vidange, méthode utilisée, quantité soutirée en m³ dans le bassin ou la cellule, siccité moyenne des boues soutirées en %.</t>
  </si>
  <si>
    <t>Les boues soutirées des bassins 1 et 2a seront disposé sur des champs agricoles de la région selon le certificats d'autorisation émis par le MDELCC (réf.;7552-16-01-1421701 401940376) pour fin de valorisation. Les dates, méthodes, quantités et siccités sont mentionné dans la case de description de vidanges des boues ci-haut. Pour plus d'informations, veuillez nous contacter 450-601-3086_x000D_
_x000D_
Note : La description doit minimalement comprendre les informations suivantes : méthode de disposition, lieu de disposition, quantité de boues évacuée en m³, siccité moyenne des boues évacuée en %, identification du bassin ou de la cellule, date de début et de fin de la vidange, méthode utilisée.</t>
  </si>
  <si>
    <t>Le 1er septembre, 18,60 m3 de boues ont été pompés par camion vacuum et acheminés au site de disposition de St-Cyrille-de-Wendover.</t>
  </si>
  <si>
    <t>vidange des boues du poste de pompage le 9 septembre par camion vacuum pour un volume de 16.5 m3</t>
  </si>
  <si>
    <t xml:space="preserve">boues transporter par camion vacuum par pompage sanitaire mont tremblant le total des boues soit 16.5 m3 le 9 septembre vers leur site </t>
  </si>
  <si>
    <t xml:space="preserve">Lieu d'élimination pour l'enfouissement : Lachenaie pour  507,8 TM avec siccité moyenne de 30,5%_x000D_
Déchets: dégrillée: 16,2 m3_x000D_
               dessablée: 10,4 m3_x000D_
Aide coagulant: AE440 : 675 kg	_x000D_
</t>
  </si>
  <si>
    <t>Boues déshydratées par un pressoir rotatif. 50,0m3 de boues ont été envoyées au LET de Gaspé avec une siccité moyenne de 29,67%.</t>
  </si>
  <si>
    <t xml:space="preserve">Vidange de 1000 gallons dans la fosse Ouest et vidange de 8120 gallons dans la fosse Centre. Travaux effectués par Transport de la Matapédia INC._x000D_
</t>
  </si>
  <si>
    <t xml:space="preserve"> Disposition des boues à Sani - Manic  Matane. Travaux effectués par Transport de la Matapédia INC.</t>
  </si>
  <si>
    <t>49 940 kg de boues d'une siccité moyenne de 16.1% sont envoyées en valorisation dans la Municipalité de Saint-Alexandre.</t>
  </si>
  <si>
    <t>Voici les sites pour la disposition de nos boues envoyées directement pour valorisation agricole: P1 Site 2 690 rang 6 St-Sylvère P2 site C91 114, chemin Béthel Durham sud P3 Site 4 Rang 4 Saint-Marcel-de-Richelieu P4 champ 84 1063 route261 St-Valère P5 Site 3 6 ieme rang L' Avenir P6 Site 8a 587 rang 8 St-Sylvère P7 Site 113 43 route Boisvert Saint Norbert d'Arthabaska P8 Site7 778 rang 2 L'Avenir P9 Site 119 13, 7ieme rang de Saint Norbert Saint Norbert D'Arthabaska P10 Site 4 73, 6ieme rang Saint-Rosaire P11 Ferme Duvalait en face du2620 Grand Esprit Nicolet P12 site 37 rg bord du l'eau Saint Pie de Guire P13 champ13-14-15 575-525 rg Thiersant Saint Aimé P14 Ferme des Anges 1385 4ieme rg Simpson St-Cyrille Wendover P15 Site 51 Rang Thersiant Saint Aimé P16 site A04 109 rang de la riviere Saint Alban P17 Site 103 161,9ieme rang St Norbert D'Arthabasca P18 Site 79 Ferme G.C.K Martel Route Letendre St-pie De Guire P19 site 9 en face du 409 rag bord de l eau Saint Aimé P20 Site 1-2 547 rg 11 Durham -sud P21 Site 6 Route »Letendre Ste-Pie de Guire P22 Site 4b 6375oul. Industriel Bécancour P23 Ferme Raymod site 18 59 route Dufresne Durham-Sud P24 MA Chaput site 361 1645, 8ieme Rang Saint Valère P25 Ma Chaput Site 343 215 4ieme Rang Ouest Daveluyville P26 Site 2 Rang 12 Durham-Sud P27 Mario Toupin Site 5 2871 Rang St Alexis St-Maurice P28 Ferme Bellie Site 15 en face du 150 rang 10 Ste-Pie de Guire P29 Ferme GCK Martel 550,13 ieme rang est Ste-Pie de Guire P30 Francis Hébert Site B1 P31 548, rang Haut de la Rivière St-Francois du Lac P32 Freme Bellie Site 25 en face du 120 rang 10 Ste-Pie de Guire P33 Cédric Hartmann Site R4 43 Kirouac Saint Christophe D'Arthabasca P34 Michel Goyette Site B1 265 16 ieme Rang Ste-Marie de Blandford P35 Ferme LV Site 4 436 Rg St-Jean Baptiste St-Francois du Lac P36 Ferme GCK Martel Site 50 Route Letendre Ste-Pie de Guire P37 Yvon Pellerin Site 1 589,rang 11 Saint_Valère P38 CedricHartman Site R4 3024 route 161 St Valère P39 Semican Site 243 en face du 82 rang Lainesse Victoriaville P40 Site 4 1047 rte 261 Daveluyville P41 Site GA1 6339 Skiberine Valcourt P42 Site 43 en face du 79 route Boisvert St-Norbert D'Arthabasca P43 Semican Site 243 en face du 82 rang Lainesse Victoriaville P44 SemicanSite 44 bout du rg 7 St Norbert d'Arthabasca P45 GCK Martel Site 24 175 Bord de l'Eau Ste-Pie de Guire P46 Hartman Cedric Site 7 Rang 8 Saint- Valère P47 Féderic Proulx Champ 1 102 rue Miquelon St Camille P48 Juneau et Frere Site A15 160 rg de la Rivière Blanche St-Alban P49 Juneau et Frere Site A10 100rg St-Joseph est St-Alban P50 Juneau et Frere Site A20 284 rg de la Rivière Blanche St-Alban P51 Juneau et Frere Site A24 Rg des Grondines St-Alban P52 Éric et Frères Site champ MD1 3ieme rang v Maricourt P53 Ferme Prejean Site 10 1560,6e Wendover Saint-Cyrille P54 Ferme Prejean Site 13 1500 6ieme rg Wendover nord St-Cyrille de Wendover P55 Ferme Prejean Site 17 après le 1630 rang 6 St Cyrille de Wendover P56 Ferme Prejean Site 15 16307ieme rang de Wendover nord Saint Cyrille e Wendover P57 Ellenburger Erwin Site 1 550 6ieme rang Saint Cyrille de Wendover P58 Ellenburger Erwin Site 3en face du 500 rang 7 Saint Cyrille de Wendover P59 Ferme Libert Site 39 Rang Caroline St David P60 Ferme Bona Site 21 70,Rg de Bord de l'eau Saint Bonaventure P61 Ferme Milton Site F4 10e rang, Ouest St-Adrien P62 Ferme Milton Site 112 chemin Fredette Wotton P63 Ferme les Trois Site 56 15</t>
  </si>
  <si>
    <t xml:space="preserve">Transport et disposition: Englobe, Les Composts du Québec_x000D_
Siccité: 27.6%_x000D_
Quantité: 138.08 t.m._x000D_
</t>
  </si>
  <si>
    <t>103,78 TM de boues déshydratées par un filtre à bandes à 17,5 % de siccité moyenne, soit 18,2 TMS, valorisation agricole par la firme Epursol à Mirabel.</t>
  </si>
  <si>
    <t>Ouvrage municipal d'assainissement des eaux usées de Saint-Raymond</t>
  </si>
  <si>
    <t>Saint-Raymond</t>
  </si>
  <si>
    <t xml:space="preserve">1.	Identification du bassin 		1 et 3_x000D_
2.	Date de début 			2020-09-09_x000D_
        Date de fin				2020-09-25_x000D_
3.	Méthode utilisée			Valorisation, épandage dans les champs_x000D_
4.	Siccité moyenne des boues : 	29.7 %_x000D_
5.	Quantité soutirée			Bassin #1 : 4510 m³_x000D_
                                                        Bassin #3 : 4390 m³_x000D_
_x000D_
</t>
  </si>
  <si>
    <t xml:space="preserve">1.	Identification du bassin 		1 et 3_x000D_
2.	Date de début 			2020-09-09_x000D_
        Date de fin				2020-09-25_x000D_
3.	Méthode utilisée			Valorisation, épandage dans les champs_x000D_
4.	Siccité moyenne des boues : 	29.7 %_x000D_
5.	Quantité soutirée			Bassin #1 : 4510 m³_x000D_
                                                        Bassin #3 : 4390 m³_x000D_
Propriétaire	                   Ville/Municipalité	                                          Site (s)_x000D_
Bassin #1_x000D_
Sébastien Caron	            Portneuf	                                                       2_x000D_
Ghislain Naud	                    Saint-Casimir	                                               2_x000D_
Olivier Huard	                    Saint-Raymond	                                               1   _x000D_
Patrick Juneau  	            Notre-Dame-de-Montauban	                       1_x000D_
Bassin #3_x000D_
Ghislain Naud	                    Saint-Casimir	                                               2_x000D_
Sébastien Caron 	            Portneuf	                                                       2_x000D_
Olivier Huard                   	Saint-Raymond	                                       1_x000D_
Patrick Juneau	                    Notre-Dame-de-Montauban	                       3_x000D_
Patrick Juneau	                    Saint-Alban                                                        2	 _x000D_
Patrick Juneau	                    Saint-Gilbert	                                               1_x000D_
Patrick Juneau	                    Saint-Ubalde	                                               1_x000D_
Patrick Juneau	                    Saint-Casimir	                                               1_x000D_
_x000D_
_x000D_
_x000D_
</t>
  </si>
  <si>
    <t>On a disposé 56.31 tonnes métriques de boue déshydratée, d'une siccité moyenne de17.43%,  en valorisation a la ferme R.Bessette au 1673, Rang Kempt St-Alexandre j0j 1s0_x000D_
On a aussi disposé de 2.4 tonnes métriques de résidus de dessablage et 0.9 tonne métrique de résidus de dégrillage  au 25 Rue Gagnon  a St-Nycéphore.</t>
  </si>
  <si>
    <t xml:space="preserve">Disposition des boues par enfouissement au site d'enviro connexions au 3779 chemin des 40-Arpents  Terrebonne , boues évacuées 1573 m3 , siccité moyenne de 22,85% , boue digéré par 2 digesteurs anaérobiques du 1er au 30 septembre 2020 , boues déshydratées par centrifugation . </t>
  </si>
  <si>
    <t>3000 gallon vider par camion vacuum</t>
  </si>
  <si>
    <t xml:space="preserve">3000 gallon vider par camion vacuum </t>
  </si>
  <si>
    <t>2654.1 tonnes de cendres ont été enfouies au LET et 1846.4 tonnes ont été valorisées en épandage agricole</t>
  </si>
  <si>
    <t>le 22 et 23 septembre 2020, aspiration avec pompe boyau de 2 pouce et ajout de polymère, placer dans le géotube sur place.  siccité des boues avant pompe 3.53% siccité après pompe et avec polymère 3.74%.  Concernant la quantité des boues extraite, nous attendons le rapport de la firme ARPO</t>
  </si>
  <si>
    <t>1126.4 tm humides à 16.77% de siccité envoyées au site de compostage de Gesterra à St-Rosaire.</t>
  </si>
  <si>
    <t>Élimination des boues à la station d'épuration de Sherbrooke, volume de 265 m3 avec une siccité de 3,9%.</t>
  </si>
  <si>
    <t>disposé dans des sacs, début de la vidange le 6 septembre et terminer le 15 septembre,_x000D_
bassin 3 siccité moyenne 2.81% 40.93 M3_x000D_
bassin 4 siccité moyenne 2.22% 80.15M3</t>
  </si>
  <si>
    <t>229 810 kg de boue à une siccité moyenne de 17.78% valorisé par la firme "viridis"</t>
  </si>
  <si>
    <t>Vidange des réservoirs de boue le 11 septembre par Sanimavic.</t>
  </si>
  <si>
    <t>Nous avons évacué 1686m3 de l'étang 6  vers le lit de séchage</t>
  </si>
  <si>
    <t>1686 m3 dans le lit de séchage</t>
  </si>
  <si>
    <t xml:space="preserve">Étang #2: _x000D_
_x000D_
Début de la vidange :                                    1er septembre_x000D_
Fin de la vidange :                                          10 septembre_x000D_
Méthode :                                                         Collecte des boues par dragage et séchage mécanique des boues par centrifugeuse électrique_x000D_
Siccité moyenne des boues :                                    25%_x000D_
Quantités enlevées :                                    412 tonnes de masse sèche, donc environ 1650m³_x000D_
_x000D_
</t>
  </si>
  <si>
    <t xml:space="preserve">Étang #2: _x000D_
_x000D_
Début de la vidange :                                    21 août_x000D_
Fin de la vidange :                                          31 août_x000D_
Méthode :                                                         Collecte des boues par dragage et séchage mécanique des boues par centrifugeuse électrique_x000D_
Siccité moyenne des boues :                                    24%_x000D_
Quantités enlevées :                                    455 tonnes de masse sèche, donc environ 1900m³_x000D_
Disposition :                                                      Revalorisation dans différents champs agricoles de la Région_x000D_
</t>
  </si>
  <si>
    <t>VALORISATION AGRICOLE PAR JMV ENVIRONNEMENT. VOLUME DE 332,9 TONNES MÉTRIQUES ÉVACUÉES. SICCITÉ MOYENNE DE 36,7%.</t>
  </si>
  <si>
    <t xml:space="preserve">vidange du bassin des boues par vacuum drummond par citerne vers ECC à St-Valérien environ 70 m3_x000D_
</t>
  </si>
  <si>
    <t>du 14 au 25 Septembre le soutirage a été fait par draguage dans la cellule 5 soit 42700 m3 avec une siccité de 4.27 %_x000D_
                                                                                                         la cellule 4 soit 30300 m3 avec une siccité de 2.13 %_x000D_
                                                                                                         une partie de la cellule 2 soit 20200 m3 avec une siccité de 3.93 %</t>
  </si>
  <si>
    <t>La disposition a été fait par camion citerne envoyer au site agricole au 1348 rang du bord de l' eau à Henryville pour la quantité de 93000 m3 avec une siccité moyenne de 3.44 %        Les boues ont été soutirées des cellules 5, 4 et partie de la 2 du 14 au 25 Septembre 2020. fait par draguage.</t>
  </si>
  <si>
    <t>Système de presse a boues, l'évacuation ce fait par la société ENVIROCONNEXION, vers le site d'enfouissement de LACHENAIE._x000D_
La quantité de Boues évacués pour le mois de septembre est de 345.75 tonnes</t>
  </si>
  <si>
    <t>Valorisation agricole : CP Lacoste, Mercier : 153,2TM  - Meuzzi Jeuris, chemin Alberton : 339.70TM - Agrobiosol : 407.45TM - Total de 900,35 TM</t>
  </si>
  <si>
    <t xml:space="preserve">Méthode: Compostage et valorisation agricole (agriculteur). Lieu Gazon Savard et champs agricole. _x000D_
Quantité: 895.9 T.M. et siccité de 15.8%_x000D_
</t>
  </si>
  <si>
    <t xml:space="preserve">Identification du bassin : Étang 6, Date de début et de fin de la vidange : 8 septembre 2020 au 26 octobre 20, méthode utilisée : Par pompage (Vidange complète de l'étang 6) Quantité soutirée en m³ : 8 783 m³, Siccité moyenne des boues soutirées en % : 2 %_x000D_
_x000D_
</t>
  </si>
  <si>
    <t xml:space="preserve">Méthode de disposition : Valorisation des boues municipales (Avis de projet (PAER); Lieu de disposition : Ferme Roger Raymond,                                                                   Quantité de boues évacuée 1620 m³ (162 voyages de 10 roues) : Siccité moyenne des boues évacuée en % : 26 %._x000D_
  &amp; _x000D_
_x000D_
Identification de bassin : Étang 2 &amp; 5, Date du début et de fin de la vidange de l'étang 2 : 2 mai 2019 au  21 juin 2019. Méthode utilisée : Par pompage (Vidange complète de l'étang 2 ) Étang 2 ( +/-  3160 m3  à 2%) Date du début et de fin de la vidange de l'étang 5  : 5 septembre 2019  au 8 novembre 2019. Méthode utilisée : Par pompage (Vidange complète de l'étang 5) Étang 5 (+/- 1000 m3 à 2%); les 7476 autres m3 sont encore dans le lit de séchage 1 en période d'assèchement ces boues seront transportées sur les terres agricoles en 2021. _x000D_
_x000D_
 _x000D_
</t>
  </si>
  <si>
    <t xml:space="preserve">cellule 4 du bassin_x000D_
date de début 16-09-2020 fin 17-09-2020_x000D_
méthode utilisé : pompe a boue a injection de polymère a dénitratation passive_x000D_
quantité soutirée; 10.1 tms_x000D_
siccité moyenne : 2%_x000D_
</t>
  </si>
  <si>
    <t xml:space="preserve">Bassin # 3, jour de septembre ( 9 et 16 ), Nombre d'heures en fonction ( 16h ), Pompe à boue (machine)_x000D_
</t>
  </si>
  <si>
    <t>284.9 tonnes métriques de boue à 18,3% de siccité. Valorisation des boues par Viridis environnement. (Fosse  JS Nadeau Sacré-cur-de-Jésus, Dany Rodrigue Ste-Clothilde-de-Beauce et Sauveur Poulin St-Martin)</t>
  </si>
  <si>
    <t>Disposition de 1299,2 TM de boue à 37,9% de siccité par la firme Viridis</t>
  </si>
  <si>
    <t xml:space="preserve">Vidange de la fosse par EBI envirotech le 23 septembre.  Un total de 432 mc de boues a été vidangées._x000D_
</t>
  </si>
  <si>
    <t>disposition effectuée par EBI Envirotech</t>
  </si>
  <si>
    <t>Déshydratations quotidienne par Centrifugeuse, disposition ferme Ruisseau Mirabel la de valorisation des boues, quantités disposées 119,43 tonnes métrique humides (THM), avec une siccités moyenne mensuelle de 21,7 %. Provenant de l'épaississeur.</t>
  </si>
  <si>
    <t>Une quantité totale de boues déshydratées de 1 056 020 kg de MS d'une siccité moyenne de 29.1% ont été disposées lors du mois de septembre 2020 dont 468 020 kg de MS par incinération à la station d'épuration et 588 000 kg de MS par épandage par la firme JMV Environnement.</t>
  </si>
  <si>
    <t>Une déshydratation par centrifugeuse a eu lieu du 02 au 29  septembre 2020. Le volume total est de 150.8 tonne avec une siccité de 20.1%. Les boues ont été disposée pour une revalorisation agricole par la firme Viridis Environnement.</t>
  </si>
  <si>
    <t xml:space="preserve">Disposition par valorisation agricole, transport des boues le 2 septembre 2020._x000D_
Disposition des boues vidangées les 12 et 13 août 2017 dans l'étang 1._x000D_
75 TMS, siccité moyenne des boues évacuées est de 40.9%_x000D_
</t>
  </si>
  <si>
    <t>113.47 TM à 24% de siccité. _x000D_
Envoyé par camion dans une benne chez Agrobiosol.</t>
  </si>
  <si>
    <t>793 tonnes à l'épandage</t>
  </si>
  <si>
    <t>Cellule numéro 3, du 25 au 30 septembre. Méthode utilisé : pompage dans des géo-tube sur place.il y a eu 71.78 m³ de pomper dans le géo-tube. La siccité moyenne est de1.79%</t>
  </si>
  <si>
    <t>Déshydratation des boues par centrifugeuse._x000D_
Valorisation par Viridis Environnement._x000D_
Quantité totale mensuelle: 109.8 Tonnes métrique_x000D_
Siccité moyenne: 24.4 %</t>
  </si>
  <si>
    <t>Valorisation agricole, 745 rue St-Louis, St-Cyrille de Wendover, 105.69 tonnes métriques, _x000D_
siccité moyenne de 26.5% (boue biologique et septique), _x000D_
pressoir rotatif Fournier, 1er sept. au 30 sept. 2020, par camion dompeur.</t>
  </si>
  <si>
    <t>Disposition par enfouissement au site EBI, 56,95 m3 évacué, siccité moyenne 11,4%</t>
  </si>
  <si>
    <t>Méthode de disposition : Enfouissement Lieu de disposition : L.E.T. de la MRC de Charlevoix-Est Quantité de boues évacuée : environ 111 m3 (51.68 tonnes) provenant des bassins 1 et 2 Date d'opération du pressoir : 1-3-9-10-14-17-21-22-24-29. Siccité moyenne : 32.33% Bassin de boues 1 et 2.</t>
  </si>
  <si>
    <t>Pour le mois de Septembre nous avons disposée de la boue pratiquement tous les jours. La siccité moyenne est de 18%._x000D_
Nous avons disposée une quantité totale de 1964.78 Tonnes de boues en revalorisation agricole.</t>
  </si>
  <si>
    <t>Entreposage des boues aux champs et valorisation agricole. 532, 09TM à une siccité moyenne de 16,4 %. Disposition au besoin chez Englobe (Compost du Québec à St-Henri).</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</si>
  <si>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38100 m3  _x000D_
Siccité moyenne : 4.31 %_x000D_
N.B. : Cette quantité comprend les boues des stations Est et Ouest combinées_x000D_
</t>
  </si>
  <si>
    <t>184 tonnes de boues a une moyenne de 22% de siccité sur les Aldes de mine Jeffrey.</t>
  </si>
  <si>
    <t>Valorisation des boues, Volume 520.7 m3, Ferme Benallant de Lachute 147.34 m3, Ferme Gilles Ouimet de Ste-Anne des Plaines 373.4 m3. Siccité moyenne 25%</t>
  </si>
  <si>
    <t>Ouvrage municipal d'assainissement des eaux usées de Matapédia</t>
  </si>
  <si>
    <t>Matapédia</t>
  </si>
  <si>
    <t xml:space="preserve">Le 3 septembre 2020 la municipalité à disposée de ses boues usées, dans une ancienne carrière et dépotoir de M. Pierre Damour situé à Ristigouche -Sud-est. Le transport cest fait par camion 10 roues décharger directement sur les lieux et étendu par le propriétaire. Environs 45 m3 de boues ont été évacuer soit environs 3,5 voyages de camion. La siccité moyenne des boues était de 29 %. Cest le 14 juillet 2013 et se terminant le 15 juillet 2013, que la vidange complète de la cellule # 2 cest effectuée par pompage par dragage._x000D_
Le tout sous la supervision de M. Louis Drainville,agr et biol. De la compagnie Terre  Eau._x000D_
</t>
  </si>
  <si>
    <t>Date de sortie de boue: 03-09-15-22-29 septembre. Quantité: 19.5-22.3-20.2-20.5-21.0 tonne. Siccité: 29.2%. Lieu de disposition: Gestion Juno et Freres inc.</t>
  </si>
  <si>
    <t>97,31 tonnes de boues ont été acheminées sur la plateforme de compostage de la Ville de Lac-Mégantic à une siccité de 17,1%.</t>
  </si>
  <si>
    <t>Valorisation à st-chrysostome193.39MH</t>
  </si>
  <si>
    <t>Ouvrage municipal d'assainissement des eaux usées de Plessisville</t>
  </si>
  <si>
    <t>Plessisville</t>
  </si>
  <si>
    <t>La vidange des boues à débuté le 31 aout 2020 dans l'étang 3A et terminé le 14 septembre pour un total de 6944 M3 et une siccité moyenne de 3.85 % .La vidange des boues à débuté le 15 septembre 2020 et terminé le 28 septembre dans l'étang 3B pour un total de 7363 m3 et une siccité moyenne 3.78 % .  Méthode utilisé est le pompage par draguage ,déshydratation et emmagasiné dans des géotubes , déshydratation par méthode passive.</t>
  </si>
  <si>
    <t>Le vidange des boues devra finir le 8 octobre 2020</t>
  </si>
  <si>
    <t>La compagnie responsable de la déshydratation des boues a obtenu l'autorisation pour épandre les boues dans champs agricole</t>
  </si>
  <si>
    <t>320 litres de rebut. site enfouissement</t>
  </si>
  <si>
    <t>Valorisation de 608 tm de boue transportée à 21.9 % de siccité</t>
  </si>
  <si>
    <t>La vidange de boue s'est effectué dans le bassin #3 du 17-09-2020 a 16h jusqu'au 26-09-2020 a 12h _x000D_
Méthode mécanique de type centrifugeuse._x000D_
siccité moyenne de 26%._x000D_
Le contrat est de 500 tonnes de matière sèche.</t>
  </si>
  <si>
    <t xml:space="preserve">siccité moyenne de 26%_x000D_
Boue du bassin #3_x000D_
17-09-2020 a 16h jusqu'au 26-09-2020 a 12h _x000D_
</t>
  </si>
  <si>
    <t xml:space="preserve">Les boues sont valorisées aux endroits suivants:    Fréchette Rioux, Andy 28,       Ferme coureurs des bois  plate forme,      Jacques, Éric Champ SKY1, MD2, # 106 (ent),       _x000D_
Les fermes Potter 3,       Ferme Lexya Holstein et Jersey SENC Plate-forme,         Bergeron, Gilles Champ 8A,                Vaillancourt, Mario (#1)/Structure.     1683.85  TM_x000D_
1 sept	16,86%	2 sept	17,39%	3 sept	16,42%	4 sept	15,89%	5 sept	15,31%	7 sept	15,02%	8 sept	15,14%	9 sept	17,45%	10 sept	16,02%11 sept	15,78%	14 sept	14,90%	15 sept	15,61%    16 sept	15,77%	17 sept	15,10%	18 sept	15,67%	19 sept	15,93%	21 sept	15,99%	22 sept	15,36%23 sept	15,61%	24 sept	15,59%	25 sept	15,55%	26 sept	16,20%	28 sept	16,07%	29 sept	16,30%	30 sept	16,30%_x000D_
Moyenne mensuelle:   15,83%																						_x000D_
</t>
  </si>
  <si>
    <t xml:space="preserve">les boues du bassin #1 a été vidangées du 3 au 28 septembre par pompage.  Un volume de 11663 m3 a été retiré avec une siccité moyenne de 3%.  </t>
  </si>
  <si>
    <t>les boues ont été épandues dans des champs (11 663 m3 siccité de 3%)</t>
  </si>
  <si>
    <t>64600 Kg disposée chez Campor inc. avec une siccité moyenne de 12.15%</t>
  </si>
  <si>
    <t>Les boues sont déshydratées par un filtre à bandes du lundi au vendredi et les boues sont évacuées par camion benne de 14M3 soit en valorisation ou au compostage._x000D_
La quantité totale de boue évacué pour septembre est de 164 M3 à une siccité moyenne de 17.2%</t>
  </si>
  <si>
    <t>Ouvrage municipal d'assainissement des eaux usées de Sainte-Élisabeth</t>
  </si>
  <si>
    <t>Sainte-Élisabeth</t>
  </si>
  <si>
    <t>Étang no 2_x000D_
16 au 22 septembre 2020_x000D_
Par draguage et dégrillage_x000D_
Quantité soutirée: 44,37 TMS_x000D_
Siccité moyenne: 4,5%</t>
  </si>
  <si>
    <t>Étang no 2_x000D_
Vidange du 16 au 22 septembre 2020, par draguage et dégrillage _x000D_
Méthode de disposition:  au champ_x000D_
Lieu de disposition:  non disponible_x000D_
Quantité évacuée: 44,37 TMS_x000D_
Siccité moyenne: 4,5%</t>
  </si>
  <si>
    <t xml:space="preserve">Du 01 au 30 septembre 2020, les boues acheminées au bassin d'extraction, sont centrifugées à une siccité de 22%, cumulant 44.72 tonnes a été disposé par viridis environnement._x000D_
 </t>
  </si>
  <si>
    <t xml:space="preserve">- Déchets retirés par les dégrilleurs :    41 m3. _x000D_
- Sable retiré par le ou les dessableurs :  60.05   tonnes. _x000D_
- Disposition de  1712.53  tonnes de boues à  22.25 % de siccité par Uteau Valorisation. _x000D_
- Disposition de  28.17  tonnes de granules à 95.53  % de siccité par Ralph M Lang Custom Inc. Shawville. _x000D_
</t>
  </si>
  <si>
    <t>La vidange est réalisée dans le bassin no 2. La vidange a commencé début septembre. La méthode utilisée est le dragage avec déshydratation par centrifugation. La siccité moyenne est de 25 %.</t>
  </si>
  <si>
    <t>La disposition a eu lieu dans le site d'enfouissement à Baie Comeau, la siccité moyenne est de 25 %. Une partie a été valorisée dans la restauration du couvert végetal d'une sabliére à la maunicipalité de Port-Cartier conformément au certificat d'autorisation.</t>
  </si>
  <si>
    <t>La vidange des deux fosses ainsi que tu poste de pompage le 3 septembre 2020 par camion vacuum._x000D_
4 000 gallons de boues ont été disposées à RIGDSC Coaticook le 4 septembre 2020 .</t>
  </si>
  <si>
    <t>le 9 septembre  disposition de 31.22 tonnes  siccité de 22.4 % Ferme Dufort et Fils inc. 1278, rang Double Saint-Lin-Laurentides.</t>
  </si>
  <si>
    <t xml:space="preserve">Lieu d'élimination pour l'enfouissement : Lachenaie pour  1961 TM avec siccité moyenne de 28.4%_x000D_
Déchets: dégrillée: 8.2 TM_x000D_
               dessablée: 9.7 TM_x000D_
Aide coagulant: AE440 : 2500 kg_x000D_
</t>
  </si>
  <si>
    <t xml:space="preserve">Les boues sont pompées en continu à partir de notre décanteur primaire et de nos deux décanteurs secondaires pour être dirigées vers un cuvier de boues mixtes duquel les boues sont déshydratées à l'aide de 4 presses à vis.  La siccité moyenne mensuel de ces boues pour le mois de septembre a été de 39.47%_x000D_
_x000D_
Les boues ont été disposées de la façon suivante:_x000D_
529 tonnes ont été enfouies (site Harmonie)_x000D_
570 tonnes ont été brûlées à l'usine de Bromptonville_x000D_
3058 tonnes ont été valorisées agricolement_x000D_
188 tonnes ont été revégétalisées (Mine Jeffrey)_x000D_
</t>
  </si>
  <si>
    <t>EBI,St-Thomas, 33.53 t.m. , 15.5%</t>
  </si>
  <si>
    <t xml:space="preserve">Lieu d'élimination pour l'enfouissement : Lachenaie pour 589,3 TM avec siccité moyenne de 31,7%_x000D_
Déchets: dégrillée: 3,6 m3_x000D_
               dessablée: 2,4 m3_x000D_
</t>
  </si>
  <si>
    <t>Les boues de Vaudreuil-Dorion ont été deshydratées par tambour rotatif suivi de centrifugation. Pour le mois de septembre l'usine d'épuration a produit 456,28 tonnes de boues humides à une siccité moyenne de 20,5% . Ces boues ont été valorisées par Matrec et Néo-Environnement : 10,86 tonnes sont allés chez M. brunette à Rigaud Champs 10 ; 119,21 tonnes sot allés chez Néo m.Groulx , Les Cèdres Champs 5 ; 244,58 tonnes sont sont allés chez M.Gamelin, St-Polycarpe Champs 21 ; 45,83 tonnes sont allés chez M.Leboeuf , Les Cèdres Champs 1011 E ; 11,65 tonnes sont allés chez M.Séguin , St-Rédempteur  Champs BM6 et 24,15 tonnes sont allés chez M.Séguin , St-Rédempteur Champs 1 .</t>
  </si>
  <si>
    <t>Les boues sont acheminer par voyage (N=56 ) vers Valorisation agricole et gazon savard ,volume du mois est 733 m³ ,dune siccité de 14.85 % traiter du lundi au vendredi par trois F A B ,deux dégrémont (à air) et un mabarex (hydraulique) .</t>
  </si>
  <si>
    <t>176.17 tonnes de boues traitées par électro-déshydratation.  Siccité moyenne de 21.7%.  Lieux de disposition;  M.Legault, New Rin (Godmanchester), M Brunette. Rigaud (Champ 10)</t>
  </si>
  <si>
    <t>Les boues sont transportées par camion benne au site de résidu minier de la East-Sullivan. 295.5 m3 de boues avec une siccité moyenne de 17.3 %.</t>
  </si>
  <si>
    <t>Ouvrage municipal d'assainissement des eaux usées de Valcourt</t>
  </si>
  <si>
    <t>Valcourt</t>
  </si>
  <si>
    <t>Méthode de disposition : VIRIDIS et transport par camion et remorques_x000D_
Dates disposition : du 08 au 13 septembre_x000D_
Siccités moyennes boues évacuées en % MS = 31_x000D_
Lieux disposition :_x000D_
813 TM chez Éric Jacques, 6339 rue Skiberine J0E 2L0 Valcourt_x000D_
116 TM Wast Management LET St-Nicephore_x000D_
314 TM Savaria Landscape Products, 797 Peat Moss RD Alfred, Ontario</t>
  </si>
  <si>
    <t>Disposition par valorisation agricole, transport des boues du 14 au 18 et les 21 et 22 septembre 2020._x000D_
Disposition des boues vidangées en novembre et décembre 2019 et avril et mai 2020._x000D_
2670 tonnes de boues humides, siccité moyenne des boues évacuées est de 25.7%_x000D_
Une autre valorisation est prévue en 2021.</t>
  </si>
  <si>
    <t xml:space="preserve">10 septembre 2020._x000D_
_x000D_
</t>
  </si>
  <si>
    <t xml:space="preserve">3 200 gallons_x000D_
10 septembre 2020_x000D_
Disposition des boues de fosses septiques de la MRC de la Vallée-de-l'Or_x000D_
</t>
  </si>
  <si>
    <t>DECHETS RETIRÉS 1 MÈTRE CUBE</t>
  </si>
  <si>
    <t>19,9+17,3+21,5+22,4= 81 tonnes de boues déshydratées et enfouies par Viridis Environnement avec une siccité d'environ 17,5%</t>
  </si>
  <si>
    <t xml:space="preserve">La vidange a eu lieu le 15 septembre 2020. </t>
  </si>
  <si>
    <t xml:space="preserve">Les boues ont été disposées au site autorisée à la MRC de la Vallée de l'Or le 15 septembre 2020. Tout a été déplacée par la firme Enviroboue # permis 2020-109 et 2020-110 .   </t>
  </si>
  <si>
    <t>1,0m3</t>
  </si>
  <si>
    <t>Une quantité de 100 mètres cubes de boues.</t>
  </si>
  <si>
    <t xml:space="preserve">La disposition des boues par les Entreprises Claude Boutin (2005) Inc. </t>
  </si>
  <si>
    <t>59.2 kg</t>
  </si>
  <si>
    <t>Barnston_x000D_
Filtre a Bande_x000D_
3 Sept 5.7tm 16.25%_x000D_
14 Sept 5.6tm 16.7%_x000D_
22 Sept 5.7tm 16%_x000D_
30 Sept 5.8tm 16.1%</t>
  </si>
  <si>
    <t>Ouvrage municipal d'assainissement des eaux usées de Lac-Bouchette</t>
  </si>
  <si>
    <t>Lac-Bouchette</t>
  </si>
  <si>
    <t xml:space="preserve">L'épandage des boues a été fait avec des citernes de la compagnie MMK-7 dans des champs que la compagnie Les Produits B.C.C. Inc  418 679-5324 a sélectionnés au préalable et que le labourage des terres soit fait après l'épandage selon les normes. _x000D_
</t>
  </si>
  <si>
    <t>Boues déshydratées. Quantité: 6.95 tonnes métriques. Siccité moyenne: 14.0 %. Lieu d'élimination des boues: Centre de transfert Vaudreuil-Dorion</t>
  </si>
  <si>
    <t>Ouvrage municipal d'assainissement des eaux usées de Port-Daniel-Gascons</t>
  </si>
  <si>
    <t>Port-Daniel--Gascons</t>
  </si>
  <si>
    <t>etang 1,début le 3 sept 2020,fin 7 sept 2020,la methode utilisée déshydratation passive,la quantité soutirée1793m3,la siccité motenne des boues est de 4.16%.</t>
  </si>
  <si>
    <t>La disposition des boues est un grand tube sur un grn terrain adjacent a l etang ,la quantité de boues 1793m3,la siccite moyenne est de 4.16% et c est dans l étang 1,le début le 3 sept 2020 et la fin le 7 sept 2020,et la méthode utilisée c est la déshydratation passive.</t>
  </si>
  <si>
    <t>Disposition des rebus dans le conteneur a déchets_x000D_
Quantité :1.48 m3</t>
  </si>
  <si>
    <t xml:space="preserve">Réacteurs biologiques séquentiels nos 1, 2, 3 et 4_x000D_
du 1er au 31 octobre_x000D_
Purge de boue à chaque séquence par réacteur, boues ensuite accumulées dans le bassin de stockage de boues._x000D_
Mesures quotidiennes des purges avec débitmètre, un volume total de 208,5 m3 soutiré pour le mois._x000D_
</t>
  </si>
  <si>
    <t xml:space="preserve">Déshydratation par filtre à bande, centre de transfert de Vaudreuil et site d'enfouissement_x000D_
Quantité transférée totale : 189,6 m3 _x000D_
Siccité moyenne: 15,3%_x000D_
Vidange par benne à boues, du 1er au 30 octobre_x000D_
</t>
  </si>
  <si>
    <t xml:space="preserve">Valorisation de 425 tonnes de boues en milieu agricole, les boues ayant une siccité de 30% ont été soutirées des deux derniers bassins à l'automne 2019.  La répartition des 425 tonnes des boues épandues est la suivante : 300 tonnes à St-Blaise-sur-Richelieu et 125 tonnes à Ste-Brigide-d'Iberville. </t>
  </si>
  <si>
    <t>Ouvrage municipal d'assainissement des eaux usées de Saint-René</t>
  </si>
  <si>
    <t>Saint-René</t>
  </si>
  <si>
    <t>Vidange de bassin de stockage des boues le 01-10-2020 de 10 m³. Par Sani-Etchemin</t>
  </si>
  <si>
    <t>Soutirage pompage et déshydratation de 1200 m3 de boues de l'étang 2A, Soutirage et pompage via drague flottante avec étangs en opération._x000D_
Siccité moyenne des boues soutirées des étangs: 4,85%_x000D_
Déshydratation mécanique des boues._x000D_
Travaux du 02 au 16 octobre 2020</t>
  </si>
  <si>
    <t>Valorisation agricole via la firme Englobe sous traitant de la firme Simetech Environnement_x000D_
Quantité de boues évacuées: 579 TMS._x000D_
Stockage sur le lit de séchage des étangs d'un volume de 621 TMS_x000D_
Siccité moyenne des boues évacuées: 23,81%_x000D_
Les opérations de soutirage, pompage et de déshydratation des boues se sont déroulées du 02 au 16 octobre.</t>
  </si>
  <si>
    <t xml:space="preserve">- Déchets retirés par les dégrilleurs :  50  m3. _x000D_
- Sable retiré par le ou les dessableurs :   58.2  tonnes. _x000D_
- Disposition de  1990.69  tonnes de boues à  22.8 % de siccité par Uteau Valorisation. _x000D_
_x000D_
</t>
  </si>
  <si>
    <t xml:space="preserve">Le vidange des boues par centrifugeuse de L'étang 2 Est a terminé en date du 7 octobre 2020. Un total de 666 TMS  a été valorisé. _x000D_
</t>
  </si>
  <si>
    <t xml:space="preserve">Un total de 666 TMS  a été valorisé par la compagnie Excent Environnement des bous déshydratées par centrifugeuse._x000D_
_x000D_
La compagnie Terreapure a valorisé 738 TMS des boues déshydratées par la méthode passive, soit les géotubes. _x000D_
</t>
  </si>
  <si>
    <t>3772.25 tonnes de cendres ont été enfouies au LET de la station d'épuration et 1593.88 tonnes de fertili cendres ont été recyclés en épandage agricole</t>
  </si>
  <si>
    <t>Boue revalorisée aux lieux suivants: M Legault New Rin Goodmanches et Neo Gilbert Campeau Ste Marthe. 158,70m3 de boue déshydratée par électro-déshydratation avec une siccité moyenne de 24,9%.</t>
  </si>
  <si>
    <t>1143.78 tm humides à 16.78 % envoyées au site de compostage de Gesterra à St-Rosaire.</t>
  </si>
  <si>
    <t>_x000D_
Déshydratation des boues par pressoir rotatif dont la siccité moyenne est de 23.3% Transport par camion vers le champs (valorisation) 481 T.M</t>
  </si>
  <si>
    <t>La vidange est réalisée dans le bassin no 1. La vidange a commencé début septembre. La méthode utilisée est le dragage avec déshydratation par centrifugation. La siccité moyenne est de 25 %.</t>
  </si>
  <si>
    <t>Les boues ont été revalorisée à Baie Comeau. la siccité moyenne est de 25 %. Une partie a été valorisée dans la restauration du couvert végétal d'une sablière à la municipalité de Port-Cartier conformément au certificat d'autorisation.</t>
  </si>
  <si>
    <t>14 octobre 2020, vidange bassin accumulation boue = 13.49 m cube_x000D_
16 octobre 2020, vidange bassin accumulation boue = 23.03 m cube</t>
  </si>
  <si>
    <t>Pompage de 1629 m3 de boues liquide à 3 % de siccité de l'étang PM-1 vers le lit de gel-dégel-séchage.</t>
  </si>
  <si>
    <t>Ouvrage municipal d'assainissement des eaux usées de Saint-Mathieu-de-Rioux</t>
  </si>
  <si>
    <t>Vidange des boues de la cellule numéro 4 dans le lit de séchage._x000D_
La vidange s'est faite avec 2 tracteurs et équipement._x000D_
Il y avait un tracteur John Deere 7810 et un autre tracteur John Deere 7530 avec pompe à fumier Bodco Jamesway et tank Jamesway  de 3 500 gallons._x000D_
Vingt-cinq voyages de la cellule numéro 4 vers le lit de séchage ont été retirés pour une quantité de 87 500 gallons (397.78 mètres cubes). La vidange s'est faite le 15 octobre 2020 et a duré tout l'avant midi. Le taux de siccité est inconnu.</t>
  </si>
  <si>
    <t xml:space="preserve">Les boues sont traitées par floculation/décantation avec la méthode du DAB. Les boues ramassées à la sortie ont une siccité moyenne de 17% et sont_x000D_
disposées par valorisation agricole sur différentes fermes. La date de vidage est le 8 Octobre 2020 dans la chambre des préfiltres. Volume: 2.5 m3_x000D_
</t>
  </si>
  <si>
    <t>On a disposé en valorisation de 67.58 tonnes métriques de boue ayant un siccité de 17.45 %. La valorisation  de la boue a été effectué sur la ferme R. Bessette SENC/Structure 1673 Rang Kempt St-Alexandre  QC j0j 1s0. On a disposé de 1 m3 de déchets de dégrillage et 2 m3 de déchets de dessablage au 25 Rue Gagnon St-Nycéphore.</t>
  </si>
  <si>
    <t xml:space="preserve">Lieu d'élimination pour l'enfouissement : Lachenaie pour 1373,6 TM avec siccité moyenne de 28,7%_x000D_
Déchets: dégrillée: 28,2 TM_x000D_
               dessablée: 42,2 TM_x000D_
Aide coagulant: AE440 : 2700 kg_x000D_
</t>
  </si>
  <si>
    <t>Valorisation agricole / JMV Environnement / 353,3 tonnes métriques évacuées / Siccité moyenne de 36,01 %</t>
  </si>
  <si>
    <t>Sortie de boue le 2  octobre 2020 entreposer sur place, Ferme Dufort et Fils inc. 1278, rang Double Saint-Lin-Laurentides.</t>
  </si>
  <si>
    <t xml:space="preserve">Un total de 1 034 678 kg de MS de boues déshydratées ont été disposées, soit environ 495 717 kg de MS ont été incinérées à la station d'épuration et 538 962 kg de MS ont été épandues par la firme JMV Environnement. _x000D_
</t>
  </si>
  <si>
    <t>Ouvrage municipal d'assainissement des eaux usées de Saint-Alphonse</t>
  </si>
  <si>
    <t>Saint-Alphonse</t>
  </si>
  <si>
    <t>J'ai procédé la vidange des boues avec un système de pompe et d'une pompe dosseuse qui injecte du polymère le tout est pomper dans un terratube.Du 28 octobre 2020 et le 29 octobre 2020,la mesure des boues as été prise au mois de novembre.</t>
  </si>
  <si>
    <t>Méthode de disposition : Enfouissement Lieu de disposition : L.E.T. de la MRC de Charlevoix-Est Quantité de boues évacuée : environ 63.49 m3 (29.56 tonnes) provenant des bassins 1 et 2 Date d'opération du pressoir : 6-13-15-22-28. Siccité moyenne : 31.8% Bassin de boues 1 et 2.</t>
  </si>
  <si>
    <t>Les boues ont été soutirées par un camion de type vacuum de la compagnie Sani Charlevoix et ont été disposée à leur site de traitement.</t>
  </si>
  <si>
    <t>vidange bassin 1b et 2a en partie</t>
  </si>
  <si>
    <t xml:space="preserve">épandage liquide </t>
  </si>
  <si>
    <t>Du  01 au 31 octobre 2020, les boues ont été acheminées  au bassin d'extraction, sont centrifugées à une siccité de 22 %, cumulant 85.89 tonnes a été disposé par viridis environnement à la ferme du ruisseau mirabel.</t>
  </si>
  <si>
    <t>Volume solide : 1,895 m³</t>
  </si>
  <si>
    <t>Ouvrage municipal d'assainissement des eaux usées de Saint-Isidore (Montérégie)</t>
  </si>
  <si>
    <t>Saint-Isidore</t>
  </si>
  <si>
    <t xml:space="preserve">Bassin 2: Début vidange: 18 au 24 octobre 2020, Méthode: Déshydratation par centrifugeuse, 58,61 TMS, Siccité moyenne: 16,59%, _x000D_
Bassin 3: Début vidange: 25 au 28 octobre 2020 Méthode: Déshydratation par centrifugeuse , 167,62 TMS, Siccité moyenne: 21,55% </t>
  </si>
  <si>
    <t>_x000D_
Bassin 2: Début vidange: 18 au 24 octobre 2020, Méthode: Déshydratation par centrifugeuse, 58,61 TMS, Siccité moyenne: 16,59%, Revalorisation aux champs_x000D_
Bassin 3: Début vidange: 25 au 28 octobre 2020 Méthode: Déshydratation par centrifugeuse, 167,62 TMS, Siccité moyenne: 21,55%, Revalorisation aux champs</t>
  </si>
  <si>
    <t>Ouvrage municipal d'assainissement des eaux usées de Saint-Ambroise-de-Kildare</t>
  </si>
  <si>
    <t>Saint-Ambroise-de-Kildare</t>
  </si>
  <si>
    <t xml:space="preserve">la vidange a commencer le 5 Octobre et c`est terminer le 16 Octobre._x000D_
les 2 bassins ont été vidanger avec un total de 3032 m3 vidangé_x000D_
la méthode utilisé est pompé la boue sur un radeau et passer dans un tamis_x000D_
la siccité sera transmis dans le prochain rapportles </t>
  </si>
  <si>
    <t>l`information sera transmis dans le mois prochain</t>
  </si>
  <si>
    <t>Valorisation de 597.4 tm de boues transportées à 23.3 % de siccité.</t>
  </si>
  <si>
    <t>Ouvrage municipal d'assainissement des eaux usées de Saint-Michel-des-Saints</t>
  </si>
  <si>
    <t>Saint-Michel-des-Saints</t>
  </si>
  <si>
    <t>Méthode: Dragage. Procédé- pompage, polymérisation et déshydratation passive. Sac style géotubes _x000D_
Étang #1: _x000D_
Début 5 oct. et fin 13 oct._x000D_
5678m³ _x000D_
223,14TMS_x000D_
_x000D_
Étang #2:_x000D_
Début 14 oct. et fin 16 oct._x000D_
1589m³_x000D_
59,67TMS</t>
  </si>
  <si>
    <t>48910 kg disposée chez Campor Environnement inc. avec une siccité de 11.24%</t>
  </si>
  <si>
    <t>OMAEU de Saint-Georges (Saint-Jean-de-la-Lande)</t>
  </si>
  <si>
    <t>cellule # 4, du 23 au 28 octobre 2020, par camion vacuum, 211.47 mètres cubes soutirées avec une siccité moyenne de 2.5%</t>
  </si>
  <si>
    <t>Le camion siphon, une fois plein, transbordait son contenu dans un camion citerne pour transport vers La régie intermunicipale de la région de Thetford Mines. 211.47 mètres cube de boue, d'une siccité de 2.5% ont ainsi été évacués de l'étang #4 du 26 au 28 octobre 2020 par camion siphon.</t>
  </si>
  <si>
    <t>Ouvrage municipal d'assainissement des eaux usées de Saint-Gilles</t>
  </si>
  <si>
    <t>Saint-Gilles</t>
  </si>
  <si>
    <t>Bassin : Bassin #1_x000D_
Date de début de la vidange : 29 octobre 2020_x000D_
Date de fin de la vidange : 30 octobre 2020_x000D_
Méthode utilisée : Pompage avec dégrilleur puis envoyé vers des citernes._x000D_
Quantité soutirée en m3 : 393.3 m3_x000D_
Siccité moyenne des boues soutirées en % : 3.3 %_x000D_
Prélevé par : Viridis</t>
  </si>
  <si>
    <t>Méthode de disposition : Citerne, les boues sont recyclées sans déshydratation directe et acheminées vers l'agriculture._x000D_
Lieu de disposition : Terres agricoles, disposition effectuée par la compagnie Viridis._x000D_
Quantité de boues évacuée en m3 : 393.3 m3_x000D_
Siccité moyenne des boues évacuée en % : 3.3 %_x000D_
Identification du bassin : Bassin #1_x000D_
Date de début de la vidange : 29 octobre 2020_x000D_
Date de fin de la vidange : 30 octobre 2020</t>
  </si>
  <si>
    <t>Vidange du bassin de captage des boues et nettoyage de la station de pompage du Centenaire fait le 15 octobre, par Pompage sanitaire Mont-Tremblant.</t>
  </si>
  <si>
    <t>A barston_x000D_
Filtre a bande_x000D_
2 Oct 5.59tm 15.8%_x000D_
20 Oct 6tm 15.1%</t>
  </si>
  <si>
    <t xml:space="preserve">Les boues ont été aspirées par camion vacuum et disposées au site de la régie inter-municipale de la région de Thedford-Mines. Le premier bassin a été vidangé le 28-29 septembre et le deuxième le 7-8 octobre. La quantité totale de boues est de 167.87 tonnes et la siccité moyenne est de 5 %. </t>
  </si>
  <si>
    <t xml:space="preserve">22 octobre: Pompage de la boue par vaccum, 12 m3 evacué, 3% de siccité, 90 % de boue pompée. </t>
  </si>
  <si>
    <t>Élimination des boues à la station d'épuration de Sherbrooke, volume de 225 m3 et d'une siccité de 3,9 %.</t>
  </si>
  <si>
    <t>Vidange des boues du 19 au 27 octobre_x000D_
Vidange des étangs #1 et #2_x000D_
Méthode: Drague flottante et Géo tubes_x000D_
Volume soutiré étang #1 2022 m3 siccité moyenne 2.49_x000D_
Volume soutiré étang #2 3005,22 m3 siccité moyenne 2.88</t>
  </si>
  <si>
    <t>Déchets retirés 1mètre cube et 1/3</t>
  </si>
  <si>
    <t>53.65kg</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</si>
  <si>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41995 m3  _x000D_
Siccité moyenne : 3.91 %_x000D_
N.B. : Cette quantité comprend les boues des stations Est et Ouest combinées_x000D_
</t>
  </si>
  <si>
    <t xml:space="preserve">EBI, Saint-Thomas, 13.1 % de siccité moyenne , 43.62 t.m. </t>
  </si>
  <si>
    <t>Déshydratation des boues par centrifugeuse._x000D_
Valorisation par Viridis Environnement._x000D_
Quantité totale mensuelle: 98.8 Tonnes métrique._x000D_
Siccité moyenne: 23.2 %</t>
  </si>
  <si>
    <t>Valorisation agricole 661 tonnes</t>
  </si>
  <si>
    <t>Une déshydratation par centrifugeuse a eu lieu du 01 au 30 Octobre 2020. Le volume total est de 196.8 tonne avec une siccité de 20.8%. Les boues ont été disposée pour une revalorisation agricole par la firme Viridis Environnement.</t>
  </si>
  <si>
    <t>Déshydratations quotidienne par Centrifugeuse, disposition ferme lÉclatière S.E.N.S et aussi à la ferme Ruisseau pour la valorisation des boues, quantités disposées 93,27 tonnes métrique humides (THM), avec une siccités moyenne mensuelle de 22,2 %. Provenant de l'épaississeur.</t>
  </si>
  <si>
    <t>Système de presse a boues, l'évacuation ce fait par la société ENVIROCONNEXION, vers le site d'enfouissement de LACHENAIE._x000D_
La quantité de Boues évacués pour le mois d'Octobre est de 428.13 tonnes</t>
  </si>
  <si>
    <t>vidange du bassin des boues le 20-10 par citerne de viridis environnement vers fosse Bessette à St-Alexandre 74.33 m3</t>
  </si>
  <si>
    <t>Entreposage des boues aux champs et valorisation agricole. 545,4 TM à une siccité moyenne de 17,3 %. Disposition au besoin chez Englobe (Compost du Québec à St-Henri).</t>
  </si>
  <si>
    <t>Dans le bassin #3,du 1 octobre 2020 au 6 octobre 2020,par pompage dans des Geobag, nous avons soutirée 3055.47 m³et la siccité moyenne était de 2.40%._x000D_
Dans le bassin #2, du 6 octobre 2020 au 12 octobre 2020, par pompage dans des Geobag, nous avons soutirée 1945.23 m³ et la siccité moyenne était de 3.61%</t>
  </si>
  <si>
    <t>vidanger boues effectuer par vide tout</t>
  </si>
  <si>
    <t>Ouvrage municipal d'assainissement des eaux usées de Sainte-Brigide-d'Iberville</t>
  </si>
  <si>
    <t>Sainte-Brigide-d'Iberville</t>
  </si>
  <si>
    <t>L'étang 3 a été vidangé les 5 et 6 octobre: le pompage c'est fait de facon liquide et disposé sur une ferme. Il y a présence de déphosphatation dans ce bassin_x000D_
_x000D_
1304,820 TMH 5,93% de siccité moyenne</t>
  </si>
  <si>
    <t>Ferme R. Bessette S.E.N.C_x000D_
1673, rang Kempt_x000D_
Saint-Alexandre J0J1S0</t>
  </si>
  <si>
    <t>Ouvrage municipal d'assainissement des eaux usées de Saint-Roch-de-Mékinac</t>
  </si>
  <si>
    <t>Saint-Roch-de-Mékinac</t>
  </si>
  <si>
    <t>Mékinac</t>
  </si>
  <si>
    <t xml:space="preserve">fosse #7 et 8  La vidange a eu lieu le 20-10-06 et par camion pompe _x000D_
_x000D_
</t>
  </si>
  <si>
    <t xml:space="preserve">Régie de gestion des matières résiduelle de la Mauricie._x000D_
</t>
  </si>
  <si>
    <t>Valorisation agricole : Agrobiosol 937.95 T.M.</t>
  </si>
  <si>
    <t>Les boues sont pompées en continue à partir de notre décanteur primaire et de nos deux décanteurs secondaires pour être dirigées vers un cuvier de boues mixtes duquel les boues sont déshydratées avec l'aide de 4 presses à vis.  La siccité moyenne de ces boues pour le mois d'octobre a été de 37,03%._x000D_
_x000D_
Les boues ont été disposées de deux manières:_x000D_
3755 tonnes ont été brûlées à l'usine de Bromptonville_x000D_
603 tonnes ont été envoyées en valorisation agricole</t>
  </si>
  <si>
    <t>Nous avons revalorisé 128.8 Tonnes de Boues ayant une siccité moyenne de 24.275 % à la mine Jeffrey.</t>
  </si>
  <si>
    <t>Disposition par camion benne. Quantité de boues évacuées pour le mois: 556,01m³. Siccité moyenne: 25.3%._x000D_
Lieux de disposition: Ferme Bennelan Lachute: 32,75m³; Ferme Piroco Sainte-Anne: 243,92 m³; ferme D. Lalande Saint-André: 279,34 m³.</t>
  </si>
  <si>
    <t xml:space="preserve">Les boues sont valorisées aux endroits suivants : Breault, Robert Côté maison,    Bergeron, Gilles Champ 3A,    Ferme Coureurs des bois L05 (ent),    Vaillancourt, Mario (#1)/Structure._x000D_
1532.75 TM                                                    Siccité moyenne quotidienne ;_x000D_
1 octobre   16,30%  	2 octobre     15,85%	3 octobre    15,52%		5 octobre     15,87%	6 octobre    16,32% 	7 octobre     15,35%	8 octobre     15,44%	   9 octobre    16,18%	   10	octobre   15,27%	 12 octobre	15,90%	 13 octobre	16,13%	 14 octobre	16,12%	15 octobre	15,88%     16 octobre	16,03%	         17 octobre    15,93%	19 octobre	15,89%	20 octobre    17,05%	21 octobre	16,74%	22 octobre	17.05%	23 octobre	15.81%	  26 octobre	16,47%	 27 octobre	16,88%	28 octobre	17,00%	29 octobre	16,85%	 30 octobre    15,91%     31 octobre	16,30%	Moyenne mensuelle:	16,13%																						_x000D_
</t>
  </si>
  <si>
    <t>Ouvrage municipal d'assainissement des eaux usées de Sherbrooke (Saint-Élie)</t>
  </si>
  <si>
    <t>Entre les 19 octobre et 13 novembre 2020: vidange des boues des étangs no. 1 et no. 3, soutirage des boues par dragage avec déshydratation par centrifugeuse sur site (1292 tonnes avec une siccité moyenne de 22.5%)</t>
  </si>
  <si>
    <t>Élimination des boues sur des terrains agricoles de la région de Stanbridge East et de Boucherville soit 1292 tonnes avec une siccité moyenne de 22.5%.</t>
  </si>
  <si>
    <t>114 tms pompé de l'étang # 1 ,siccité moyenne 4.5% .Pompé dans des sac genre geotubes._x000D_
_x000D_
_x000D_
Travaux fait par Simetech environnement de Temiscouata sur le lac.</t>
  </si>
  <si>
    <t xml:space="preserve">La vidanges des boues c'est fait graduellement du 13 aout 2020 au 7 octobre 2020 dans la cellule #3 . La vidange à été effectué par pompage à l'aide d'une pompe submersible, les boues étais pompé dans un réservoir de rétention du quelle nous avons repompé le surnageant d'eau claire vers la cellule #1 . Nous avons évacué un total de  31.39 m3 à une siccité de 1% . </t>
  </si>
  <si>
    <t xml:space="preserve">La disposition des boues à été effectué le 26 et 27 octobre 2020 . Les boues ont été récupéré par camion vacuum par l'entreprise Protecto-Sol de Saint-Pierre Baptiste. Ils ont récupéré un volume de 31.39 m3 a une siccité de 1 % ,pour être valorisé à la chaux . L'adresse du lieu pour la disposition des boues est le 65 route 165 St-Pierre-Baptiste . LIEU:55130173  Exploitant :Y2113489  </t>
  </si>
  <si>
    <t xml:space="preserve">1,5 m3 </t>
  </si>
  <si>
    <t>Boues déshydratées par un pressoir rotatif. 57,0m3 de boues ont été envoyées au LET de Gaspé avec une siccité moyenne de 25,47%.</t>
  </si>
  <si>
    <t>Agrobiosol: 115.44 Tonnes de boue à 24% envoyé dans une benne par camion.</t>
  </si>
  <si>
    <t>Pour le mois d'octobre, nous avons disposée de la boue en moyenne 5 fois par semaine. La siccité moyenne de la boue pour le mois est de 18.5%._x000D_
Nous avons disposé un total de 1552.42 tonnes de boue et le tout en revalorisation agricole.</t>
  </si>
  <si>
    <t xml:space="preserve">Méthode: Compostage et valorisation agricole (agriculteur). Lieu Gazon Savard et champs agricole. _x000D_
Quantité: 825.9 T.M. et siccité de 14.4%_x000D_
</t>
  </si>
  <si>
    <t>Disposition par enfouissement au site EBI, 38,76 m3,11,4% de siccité</t>
  </si>
  <si>
    <t xml:space="preserve">Une entreprise prend en charge la disposition des boues et transporte le tout directement à son usine._x000D_
La quantité de boues évacuée est de 1.11 m3 sur une période de 59 jours._x000D_
</t>
  </si>
  <si>
    <t>Travail fait entre le 03 et 14 août 2020. Par drague flottante et aspiration du fond des étangs par balai submersible et centrifugeuse. Étangs #1: 59.68 TMS, 27.6% siccité. Étang #3: 46.76 TMS, 27.6% siccité.</t>
  </si>
  <si>
    <t xml:space="preserve">Disposition par revalorisation, ferme Pierre DeTonnancour, 113 St-Michel, Yamaska J0G 1X0, Les éleveurs DP, 199 rang St-Charles, St-Aimée, J0G 1K0,, Ferme Paul-Dave Brouillard, 199 rang St-Charles, St-Aimé J0G 1K0. Évacuation de 106.44 TMS.27.6% siccité, </t>
  </si>
  <si>
    <t>74.92 tonnes de boues ont été acheminées sur la plateforme de compostage de la Ville de Lac-Mégantic à une siccité de 16,1%.</t>
  </si>
  <si>
    <t>22,1+20,5+20+23,4+23,8+21,2= 130,9 tonnes de boues déshydratées et enfouies par Viridis Environnement avec une siccité d'environ 16,8%</t>
  </si>
  <si>
    <t xml:space="preserve">Lieu d'élimination pour l'enfouissement : Lachenaie pour 502,5 TM avec siccité moyenne de 32,0%_x000D_
Déchets: dégrillée: 12,1 m3_x000D_
               dessablée: 6,4 m3_x000D_
Aide coagulant: AE440 : 1050 kg_x000D_
</t>
  </si>
  <si>
    <t>Les boues sont déshydratées du lundi au vendredi par un filtre à bandes. Elles sont évacuées par camion benne de 14M3 et sont apportées en valorisation ou au compostage._x000D_
La quantité totale évacuée pour octobre est de 246M3 à une siccité moyenne de 16.3%</t>
  </si>
  <si>
    <t xml:space="preserve">Lieu d'élimination pour l'enfouissement : Lachenaie pour 612 TM avec siccité moyenne de 29,5 %_x000D_
Déchets: dégrillée: 3,8 m3_x000D_
               dessablée: 2,5 m3_x000D_
_x000D_
</t>
  </si>
  <si>
    <t>Valorisation à Chrysostome 237.16MH</t>
  </si>
  <si>
    <t>36 330 kg de boues d'une siccité moyenne de 17,7% sont envoyées en valorisation dans la Municipalité de Saint-Alexandre.</t>
  </si>
  <si>
    <t>293.6 tonnes métriques de boue à 18,2% de siccité. Valorisation des boues par Viridis environnement. (Fosse JS Nadeau Sacré-cur-de-Jésus, Dany Rodrigue Ste-Clothilde-de-Beauce).</t>
  </si>
  <si>
    <t>Les boues de l'usine d'épuration de Vaudreuil-Dorion ont été déshydratées par tambour rotatif et centrifugeuse. Le volume total produit en octobre est de 491,97 tonnes humides à une siccité moyenne de 20,8 % . Les boues ont été valorisées par Matrec inc. et néoEnvironnement.  68,88 tonnes sont allés chez M. Brunette , Rigaud , champs 10 ; 77,01 sont allés chez Néo M.Groulx, les Cèdres, Champs 5 ; 174,33 tonnes sont allés chez M. Gamelin, St-Polycarpe, Champs 21 ; 24,41 tonnes sont allés chez M. Campeau, St-Marthe ; 124,24 sont allés chez M. Séguin , St-Rédempteur, Champs BM6 et 23,10 sont allés chez M. Séguin , St-Rédempteur, champs 1.</t>
  </si>
  <si>
    <t>31.43 m pour l` etang 1 et 3 , 1-2-5-6-7 octobre. par pompage ds un sac  je n ai pas la siccité</t>
  </si>
  <si>
    <t>Date de sortie: 06-13-19-26 Octobre 2020. Quantité: 21,5-20,9-22,1-20,3 tonne. Siccité moyenne: 28,4%. Lieu de disposition: Gestion Juno et frères Inc.</t>
  </si>
  <si>
    <t>Les boues sont acheminer par voyage (N=46 ) vers Valorisation agricole et gazon savard ,volume du mois est 607 m³ ,dune siccité de 14.52 % traiter du lundi au vendredi par trois F A B ,deux dégrémont (à air) et un mabarex (hydraulique) .</t>
  </si>
  <si>
    <t>Ouvrage municipal d'assainissement des eaux usées de Notre-Dame-de-Stanbridge</t>
  </si>
  <si>
    <t>Notre-Dame-de-Stanbridge</t>
  </si>
  <si>
    <t>en attente des résultats</t>
  </si>
  <si>
    <t>Vidange des boues de l'étang #4 _x000D_
Date du début de pompage = 5 octobre 2020_x000D_
Date de fin de pompage =  6 novembre 2020_x000D_
Méthode utilisée - Pompe installée sur radeau_x000D_
71.25h * 57.6 m3 = 4104 m3_x000D_
Pour une siccité de +/-  =  1 %</t>
  </si>
  <si>
    <t xml:space="preserve">Fermeture de tout l'aération de l'étang #3 du 26-10 14h00 au 31-10 23h59 pour vidange des boues.		_x000D_
_x000D_
133 tonnes de boues ont été retirées des étangs pour entreposer sur le lit de séchage en octobre. _x000D_
_x000D_
</t>
  </si>
  <si>
    <t>Valorisation agricole, 745 rue St-Louis, St-Cyrille de Wendover, 117,45 tonnes métriques, _x000D_
siccité moyenne de 26,0% (boue biologique et septique), _x000D_
pressoir rotatif Fournier, 1er oct. au 31 oct. 2020, par camion dompeur.</t>
  </si>
  <si>
    <t>Transport et disposition: Englobe, Les Composts du Québec inc._x000D_
Siccité: 26.2 %_x000D_
Quantité: 139.67 t.m.</t>
  </si>
  <si>
    <t>Disposition de 1280 TM de boue à 41.5% de siccité pa la firme Viridis</t>
  </si>
  <si>
    <t>Ouvrage municipal d'assainissement des eaux usées de Saint-Dominique-du-Rosaire</t>
  </si>
  <si>
    <t>Saint-Dominique-du-Rosaire</t>
  </si>
  <si>
    <t>Identification du bassin: Fausse septique primaire                            Siccité moyenne des boues soutirées en %: 0%_x000D_
Date du début et de fin: 2 octobre 2020_x000D_
Méthode utilisée: Camion de pompage_x000D_
Quantité soutirée en m3: 12,87 et 9,8</t>
  </si>
  <si>
    <t xml:space="preserve">La compagnie Enviroboue a été engagée pour la vidange et la disposition des boues. </t>
  </si>
  <si>
    <t>Disposition par enfouissement au site d'Enviro Connexion 3779 chemin des 40-arpents Terrebonne , 1644 m3 de boues évacuées , siccité moyenne de 22% , 2 digesteurs anaérobiques du 1er au 31 octobre 2020 , boues déshydratées par centrifugation.</t>
  </si>
  <si>
    <t>95,31 TM de boues déshydratées par un filtre à bandes à 18,0% de siccité moyenne, soit 17,17 TMS, valorisation agricole par la firme Épursol à Mirabel.</t>
  </si>
  <si>
    <t>Méthode: Camion citerne.                                              Méthode: Camion citerne._x000D_
Lieu: Chénéville.                                                              Lieu: Chénéville._x000D_
Quantité: 19 m3.                                                             Quantité: 40 m3._x000D_
Siccité: 3.9 %.                                                                  Siccité: 22 %._x000D_
Bassin: Bassin # 2.                                                           Bassin: Chambres de vannes._x000D_
Date: 13-10-2020.                                                           Date: 22-10-2020._x000D_
Méthode: Vacuum.                                                          Méthode: Vacuum.</t>
  </si>
  <si>
    <t>Les boues sont transportées par camion benne au site de résidu minier de la East-Sullivan. 338,3 m3 au total avec une siccité moyenne de 16,7%.</t>
  </si>
  <si>
    <t>217970 kg de boue à une siccité moyenne de 17.9% valorisé par la firme  " viridis"</t>
  </si>
  <si>
    <t>Voir rapport mensuel septembre 2020</t>
  </si>
  <si>
    <t>Ouvrage municipal d'assainissement des eaux usées de Saint-Marcel</t>
  </si>
  <si>
    <t>Saint-Marcel</t>
  </si>
  <si>
    <t>Cellule #3 SP-2 (rte 285). Début et fin le 15 octobre 2020. Draguage avec pompe par la compagnie Viridis Environnement. 366 TM soutiré (366 m3).  Siccité moyenne de 3,3%.</t>
  </si>
  <si>
    <t>Épandage dans champ adjacent (ferme des pionniers). 11,7 TM (11,7 m3) siccité à 3,3%.  Cellule #3 SP-2 (rte 285). Début et fin le 15 octobre 2020. Draguage avec pompe par la compagnie Viridis Environnement. Le tout géré par la compagnie Viridis Environnement.</t>
  </si>
  <si>
    <t>Disposition des rebuts dans le conteneur a déchets_x000D_
Quantité : 1.2 m3</t>
  </si>
  <si>
    <t xml:space="preserve">Réacteurs biologiques séquentiels nos 1, 2, 3 et 4_x000D_
du 1er au 30 novembre_x000D_
Purge de boues à chaque séquences par réacteurs, boues ensuite accumulées dans le bassin de stockage de boues._x000D_
Mesures quotidiennes des purges avec débitmètre, un volume total de 157,8 m3 soutiré pour le mois._x000D_
</t>
  </si>
  <si>
    <t xml:space="preserve">Déshydratation par filtre à bande, centre de transfert de Vaudreuil et site d'enfouissement_x000D_
Quantité transférée totale : 144,8 m3 _x000D_
Siccité moyenne: 15,83%_x000D_
Vidange par benne à boue, du 1er au 30 novembre_x000D_
</t>
  </si>
  <si>
    <t>Le soutirage (drague) et la déshydratation (centrifugeuse) de 515 tonnes boues ont été effectués du 18 au 30 novembre 2020 dans les bassins 3 et 4.  La quantité soutirée dans le bassin 4 (dernier bassin) a été de 236 tonnes de matières sèches à environ 22% de siccité et pour le bassin 3 de 251 tonnes de matières sèches à une siccité d'environ 22%.</t>
  </si>
  <si>
    <t xml:space="preserve">- Déchets retirés par les dégrilleurs :  39  m3. _x000D_
- Sable retiré par le ou les dessableurs :   45.52  tonnes. _x000D_
- Disposition de  1939.97  tonnes de boues à  22.99 % de siccité par Uteau Valorisation. _x000D_
- Disposition de 0   tonnes de granules à 0  % de siccité par Ralph M Lang Custom Inc. Shawville. _x000D_
</t>
  </si>
  <si>
    <t>805 tonnes à la valorisation</t>
  </si>
  <si>
    <t>Déshydratation des boues par pressoir rotatif dont la siccité moyenne est de 23.3% Transport par camion vers le champs (valorisation) 370.9 T.M</t>
  </si>
  <si>
    <t>LA VIDANGE DE LA FOSSE (COMPARTIEMENT1,2,3 et 4) SITUÉE AU SITE DE TRAITEMENT A ÉTÉ EFFECTUÉE PAR LA FIRME "SANI-ORLÉANS INC" LE 26 NOVEMBRE 2020 ENTRE 8H00 et 14h00. LES BOUES ONT ÉTÉ ASPIRÉES PAR LE SYSTÈME DE VACUUM DE TYPE "JUGGLER" ET TRANSPORTÉES PAR CAMION CITERNE ET REMORQUE CITERNE. LE VOLUME DE BOUES POMPÉ A ÉTÉ DE 56.1 m.c. LE POURCENTAGE DE SICCITÉ MOYENNE N'EST PAS DISPONIBLE.</t>
  </si>
  <si>
    <t xml:space="preserve"> LES BOUES ONT ÉTÉ TRANSPORTÉES AU SITE DE TRAITEMENT "EST" DE LA VILLE DE QUÉBEC ET DISPOSÉES LE MÊME JOUR (26 NOV 2020 - 13H05). LE VOLUME DISPOSÉ EST DE 56.1 m.c.  ET LE pH DES BOUES EST DE 6.0._x000D_
</t>
  </si>
  <si>
    <t>volume de déchets : 0.660 m3</t>
  </si>
  <si>
    <t xml:space="preserve">Disposition de 1346,8 TM de boue à 41,5% de siccité par la firme Viridis_x000D_
</t>
  </si>
  <si>
    <t>Valorisation agricole, 745 rue St-Louis, St-Cyrille de Wendover, 71.23 tonnes métriques, _x000D_
siccité moyenne de 25.5% (boue biologique et septique), _x000D_
pressoir rotatif Fournier, 1er nov. au 30 nov. 2020, par camion dompeur.</t>
  </si>
  <si>
    <t>Entreposage des boues aux champs et valorisation agricole. 573,31 TM à une siccité moyenne de 16,4%. Disposition au besoin chez Englobe (Compost du Québec à St-Henri).</t>
  </si>
  <si>
    <t>21,6+19,7+19,3+21,0+23,5=105,1 tonnes de boues déshydratées et enfouies par Viridis Environnement avec une siccité d'environ 17,8%</t>
  </si>
  <si>
    <t>218990 kg total de boues à une siccité moyenne de 17.2%_x000D_
_x000D_
Valorisé par la firme Viridis</t>
  </si>
  <si>
    <t xml:space="preserve">1 m3 </t>
  </si>
  <si>
    <t>Les boues ont été transporté par camion en direction du champ de Marc-André Chaput à Sainte-Julie. En tout, 674,12 tonne métriques ont été transportées avec une siccité moyenne de 25.09% pour un total de 168,28 tonnes métriques sèches.  Elles proviennent des étangs 2 et 4. La vidange s'est déroulé du 5 au 7 novembre 2020. Elles ont étés épandues sur des terres agricoles.</t>
  </si>
  <si>
    <t xml:space="preserve">Vidange de la fosse septique principale. La vidange a eu lieu le 3 novembre de 10h à 17h. Utilisation d'un camion vacuum. Une quantité de 76,07 m3 a été pompée. </t>
  </si>
  <si>
    <t xml:space="preserve">Transport par camion citerne au site de traitement des boues de la Régie intermunicipale de gestion des déchets solides de la région de Coaticook. Disposition de 76,07 m3. Les boues proviennent de la fosse septique principale qui a été vidangée avec un camion vacuum le 3 novembre de 10h à 17h. </t>
  </si>
  <si>
    <t>Lien d'élimination pour l'enfouissement: Lachenaie pour 470,0 TM avec siccité moyenne de 31 %_x000D_
Déchets dégrillée: 14,4 m3_x000D_
              dessablée: 16,8 m3_x000D_
Aide coagulant AE440 : 875 kg</t>
  </si>
  <si>
    <t xml:space="preserve">Lieu d'élimination pour l'enfouissement : Lachenaie pour 927,2 TM avec une siccité moyenne de 27,3%		_x000D_
Déchets: dégrillée 12,0 TM_x000D_
               dessablée: 17,0 TM_x000D_
Aide coagulant AE440 : 3675 kg_x000D_
</t>
  </si>
  <si>
    <t>326.6 tonnes métriques de boue à 18,3% de siccité. Valorisation des boues par Viridis environnement. (Fosse JS Nadeau Sacré-cur-de-Jésus, Dany Rodrigue St-Victor, Ferme GYGA-Lait Sacré-cur-de-Jésus, M. Francis Maheux situé  St-Joseph-de-Beauce, Mine de Black Lake, Royal Holstein St-Martin).</t>
  </si>
  <si>
    <t>Date de sortie des boues: 03-09-13-19-26 novembre. Quantité: 19.7-20.8-20.3-20.0-21.4  tonne. Siccité moyenne: 28.3%. Lieu de disposition: Gestion Juno et Freres inc.</t>
  </si>
  <si>
    <t xml:space="preserve">Méthode: Compostage et valorisation agricole (agriculteur). Lieu Gazon Savard _x000D_
Quantité: 992.9 T.M. et siccité de 14.3 %_x000D_
</t>
  </si>
  <si>
    <t>Les boues produites à l'usine de Vaudreuil-Dorion sont déshydratées par tambours rotatifs et centrifugation. La quantité produite au mois de novembre est de 554,30 Tonnes humides à une siccité moyenne de 20,5 % . les boues sont valorisées par Matrec . 57,58 T. sont allées chez M. Lauzon Rigaud champ 29 ; 12,45 T. sont allés chez M.Gamelin St-Polycarpe Champ 21 ; 68,34 T. sont allés chez M. Lauzon Rigaud Champ 1A ; 245,05 T. sont allés chez M.Campeau Ste-Marthe et 170,88 T. sont allés chez M.Séguin St-Rédempteur Champ BM6.</t>
  </si>
  <si>
    <t>Le 17 novembre 2020 les boues ont été entreposé à la Ferme G.C.G. au total 246 mètre cubes de boues ont été évacués</t>
  </si>
  <si>
    <t>Valorisation agricole tout le mois : 948.04T.M. : Agrobiosol: 625.04T.M. et Ferme Muzzi-Jeuris Chemin Alberton 14.1T.M. et Ferme Muzzi, Napierville : 308.9T.M.</t>
  </si>
  <si>
    <t>Disposition par enfouissement au site EBI, 39,97 m3, siccité moyenne de 11,4%</t>
  </si>
  <si>
    <t>Où: Fosse septique_x000D_
Quand: 5 Novembre 2020 de 8h30 à 18h15_x000D_
Méthode utilisée: 2 camions vacuum _x000D_
Quantité: 36 000 gallons</t>
  </si>
  <si>
    <t>Disposition des boues au centre de traitement des boues de la MRC des Etchemins. 12 voyages de 3000 gallons, soit 36 000 gallons.</t>
  </si>
  <si>
    <t>Agrobiosol: 108.42 TM, siccité de 24% envoyé par camion dans une benne.</t>
  </si>
  <si>
    <t>56 110 kg de boues d'une siccité moyenne de 16,7% sont envoyées en valorisation dans la Municipalité de Saint-Alexandre.</t>
  </si>
  <si>
    <t xml:space="preserve">Une entreprise prend en charge la disposition des boues et transporte le tout directement à son usine._x000D_
La quantité de boues évacuée est de 2.08 m3 sur une période de 42 jours._x000D_
</t>
  </si>
  <si>
    <t>44.10 kg</t>
  </si>
  <si>
    <t>Déshydratation des boues par centrifugeuse._x000D_
Valorisation par Viridis Environnement_x000D_
Quantité totale mensuelle: 57.56 Tonnes métrique _x000D_
Siccité moyenne: 23 %</t>
  </si>
  <si>
    <t>Fermeture complète de l'aération de l'étang #3 du 1-11 0h00 au 2-11 ?h, et de l'étang #2  du 2-11 ?h au 30-11 23h59 pour vidange des boues.	_x000D_
								_x000D_
étang no:2 = 182.31 TMS, étang no:3`=151.53 tms et étang no:4 = 67.48 TMS</t>
  </si>
  <si>
    <t xml:space="preserve">Bassin de stockage des boues 12 m/3  par camion vacuum le 30 novembre disposé  a la régis intermunicipale de thedford mine </t>
  </si>
  <si>
    <t>nous avons vider la manière solide du bac de décantation un camion vac le tout c'est passer le 19 novembre de 10 Am a 11h30 Am ,. 12 m3 environ nous avons enlever</t>
  </si>
  <si>
    <t xml:space="preserve">la disposition des boue a ete realiser par l entrepreneur </t>
  </si>
  <si>
    <t>79510 Kg de boues disposée chez Campor Environnement inc. avec une siccité moyenne de 11.31 %</t>
  </si>
  <si>
    <t>Système de presse a boues, l'évacuation ce fait par la société ENVIROCONNEXION, vers le site d'enfouissement de LACHENAIE._x000D_
La quantité de Boues évacués pour le mois de Novembre est de 328.2 tonnes avec une moyenne de de 20.7%</t>
  </si>
  <si>
    <t>Transport et disposition: Englobe, Les Composts du Québec_x000D_
Quantité: 125.35t.m._x000D_
Siccité: 29.6%</t>
  </si>
  <si>
    <t>Boues déshydratées par un pressoir rotatif. 58,0m3 de boues ont été envoyées au LET de Gaspé avec une siccité moyenne de 26,05%.</t>
  </si>
  <si>
    <t>Valorisation St-Chrysostome  255.43MH</t>
  </si>
  <si>
    <t>Disposition par camion benne. Lieu de disposition: Ferme D. Lalande Saint-André. Quantité de boues évacuées pour le mois: 527,77m³. Siccité moyenne: 24 %.</t>
  </si>
  <si>
    <t>Méthode de disposition: Camion citerne.                              Méthode de disposition: Camion citerne.                               Méthode utilisée: Camion citerne._x000D_
Lieu: Chénéville.                                                                      Lieu: Chénéville.                                                                      Lieu: Chénéville._x000D_
Quantité: 14 m3.                                                                     Quantité 1: 42 m3.                                                                  Quantité 2: 19 m3._x000D_
Date: 03-11-2020.                                                                   Date: 26-11-2020.                                                                   Date: 26-11-2020._x000D_
Siccité: 3.8 %.                                                                           Siccité: 3.5 %                                                                          Siccité: 3.7 %._x000D_
Bassin: Bassin #2.                                                                     Bassin: Bassin #1.                                                                   Bassin: Bassin #2._x000D_
Méthode utilisée: Vacuum.                                                      Méthode utilisée: Vacuum.                                                    Méthode utilisée: Vacuum.</t>
  </si>
  <si>
    <t>995.72 tm à 16.48% de siccité envoyées au site de compostage de Gesterra à St-Rosaire.</t>
  </si>
  <si>
    <t>Les boues ont été transportées par camion benne au site de résidu minier de la East-Sullivan jusqu'au 29 Novembre 2020. 214,9 m3 de boues avec une siccité moyenne de 15,7 %._x000D_
À partir du 30 novembre, les boues ont été transportées à la MRC afin d'en faire du compost.</t>
  </si>
  <si>
    <t>Pour le mois de novembre nous avons disposés de la boue 5 jour par semaine. La siccité moyenne de la boue est de 17.9%_x000D_
Nous avons disposé un total pour le mois de 1580.54 Tonnes de boue et la totalité en revalorisation agricole.</t>
  </si>
  <si>
    <t>Vidange des étangs 1 et 4 de 2 au 13 nov. _x000D_
Quantité totale: 149.76 TMS</t>
  </si>
  <si>
    <t>Déshydratations quotidienne par Centrifugeuse, disposition ferme lÉclatière S.E.N.S  pour la valorisation des boues, quantités disposées 69,62 tonnes métrique humides (THM), avec une siccités moyenne mensuelle de 22,5 %. Provenant de l'épaississeur.</t>
  </si>
  <si>
    <t>Ouvrage municipal d'assainissement des eaux usées de Saint-Valentin</t>
  </si>
  <si>
    <t>Saint-Valentin</t>
  </si>
  <si>
    <t xml:space="preserve">la vidange de la fosse septique a eu lieu le 18 novembre et c'est fait a l'aide de camion vacuum . La quantité retiré est de 117m3. nous ne connaissons pas la siccité. </t>
  </si>
  <si>
    <t>Ouvrage municipal d'assainissement des eaux usées de Rivière-Rouge (L'Annonciation)</t>
  </si>
  <si>
    <t>Rivière-Rouge</t>
  </si>
  <si>
    <t>Identification du bassin ou de la cellule : Système de traitement de Rivière-Rouge EA-4 principal - 1450, chemin du Rapîde à Rivière-Rouge_x000D_
Date de début et de fin de la vidange : du 4 novembre 2020 au 20 novembre 2020_x000D_
Méthode utilisée : méthode de déshydratation mécanique à laide dune centrifugeuse _x000D_
Quantité soutirée en m³ dans le bassin ou la cellule : Tonnes humides transportés.  Les données en M3 ne sont pas disponible lorsquon travaille en centrifugation.  Nous avons donc extrait 1848.09 tonnes de matière humides du bassin et 496.85 tonnes de matière sèche.  Linformation en TMS au lieu den M3, est généralement accepté par le ministère de lenvironnement._x000D_
Siccité moyenne des boues soutirées en % : Vidange des boues :  365.17 TMS extraites dans létang 1 à une siccité moyenne de 28.08% et 124.66 dans létang 2 à une siccité moyenne de 23.70%</t>
  </si>
  <si>
    <t xml:space="preserve">La méthode de disposition : Disposé dans une fosse chez un agriculteur (sera épandu au printemps prochaine sur des terres agricoles)_x000D_
Lieu de disposition : Ferme Ludovic Villeneuve, 3225 Stardale Rd West, Vankleek, Ontario_x000D_
Identification du bassin ou de la cellule : Système de traitement de Rivière-Rouge EA-4 principal - 1450, chemin du Rapîde à Rivière-Rouge_x000D_
Date de début et de fin de la vidange : du 4 novembre 2020 au 20 novembre 2020_x000D_
Méthode utilisée : méthode de déshydratation mécanique à laide dune centrifugeuse _x000D_
Quantité soutirée en m³ dans le bassin ou la cellule : Tonnes humides transportés.  Les données en M3 ne sont pas disponible lorsquon travaille en centrifugation.  Nous avons donc extrait 1848.09 tonnes de matière humides du bassin et 496.85 tonnes de matière sèche.  Linformation en TMS au lieu den M3, est généralement accepté par le ministère de lenvironnement._x000D_
Siccité moyenne des boues soutirées en % : Vidange des boues :  365.17 TMS extraites dans létang 1 à une siccité moyenne de 28.08% et 124.66 dans létang 2 à une siccité moyenne de 23.70%_x000D_
</t>
  </si>
  <si>
    <t>LE 4 NOVEMBRE LA GROSSE FOSSE VIDER BOUE TRAITER A L.ISLET QUANTIER 60 MERTES CUBE DE BOUE  DÉBUT 8H POUR FINIR A 5 HEURES EXÉCUTER PAR CAMPOR  1 METRE DE BOUE SOUTIRÉ LE RÉSERVOIE A 3 METRE DE HAUTEUR DONC 33 POUR CENT DE RETIRER</t>
  </si>
  <si>
    <t>L ISLET CAMPOR  RIVIERE DU LOUP</t>
  </si>
  <si>
    <t>Les boues sont évacuées par camion benne de 14 m3 du lundi au vendredi et sont envoyées soit en valorisation ou soit au compostage._x000D_
Les boues sont déshydratées par un filtre à bande et la siccité moyenne du mois de novembre est de 16.3%_x000D_
La quantité total évacuée pour novembre est de 208m3</t>
  </si>
  <si>
    <t>Ouvrage municipal d'assainissement des eaux usées de Grandes-Piles</t>
  </si>
  <si>
    <t>Grandes-Piles</t>
  </si>
  <si>
    <t>Bassin 1 et 2. Du Le 10 et le 20 novembre. Pompage des boues. 49.19 m3. Siccité de 1,3 %</t>
  </si>
  <si>
    <t>Site de Englobe de St-Henry de Lévis. Bassin 1 et 2. Du Le 10 et le 20 novembre. Pompage des boues. 49.19 m3. Siccité de 1,3 %</t>
  </si>
  <si>
    <t>10.4 m3 à une siccité moyenne de 1.7% on été extraies du bassin de boues à l'aide d'un camion vacuum le 11 novembre.</t>
  </si>
  <si>
    <t>10.4 m3 à une siccité moyenne de 1.7%, on été transportées par camion vacuum au lagune de la MRC de la Vallée de l'or le 11 novembre 2020.</t>
  </si>
  <si>
    <t>du 01 au 30 novembre 2020, les boues acheminées au bassin d'extraction, sont centrifugées à une siccité de 22%, cumulant 69.3 tonnes a été disposée Viridis environnement.</t>
  </si>
  <si>
    <t xml:space="preserve">2020-11-12 et 2020-11-13  Usine de traitement à Lac-Etchemin, 170.34 m3 de boues disposées 58% volume de la fosse septique </t>
  </si>
  <si>
    <t>Valorisation de 614.4 tm de boues transportées à 24.1% de siccité</t>
  </si>
  <si>
    <t>Méthode de disposition : Enfouissement Lieu de disposition : L.E.T. de la MRC de Charlevoix-Est Quantité de boues évacuée : environ 13 m3 (11.07 tonnes) provenant des bassins 1 et 2 Date d'opération du pressoir : 4-16. Siccité moyenne : 21% Bassin de boues 1 et 2.</t>
  </si>
  <si>
    <t>etang , du 9/11 au 18/11, vidange avec bassin isolé, 3500 m3, 3%</t>
  </si>
  <si>
    <t>Ouvrage municipal d'assainissement des eaux usées de Saint-Étienne-de-Beauharnois</t>
  </si>
  <si>
    <t>Saint-Étienne-de-Beauharnois</t>
  </si>
  <si>
    <t>Bassin1et 2, 9et10 novembre 2020, dragage, 972.68 TMH à 4% de siccité.</t>
  </si>
  <si>
    <t xml:space="preserve"> pompé dans des camion-citerne par la firme Viridis, dans une fausse chez Les Fermes Lebec inc 576 Ch. New Erin Godmandchester 972.68 TMH à 4% de siccité, bassin 1 et 2, début 9 novembre 2020, fin 10 novembre 2020, camion-citerne </t>
  </si>
  <si>
    <t>Vidange du bassin des boues, fosse septique et bassin de décantation le 4 novembre.</t>
  </si>
  <si>
    <t>Lislet</t>
  </si>
  <si>
    <t xml:space="preserve">La vidange est réalisée dans le bassin no 2. La méthode utilisée est le dragage avec déshydratation par centrifugation. La siccité moyenne est de 25 %. La vidange a commencé en octobre et a pris fin le 15 novembre. _x000D_
_x000D_
</t>
  </si>
  <si>
    <t>Les boues ont été revalorisée à Baie Comeau et n'ont pas été enfouies dans les sites d'enfouissement. la siccité moyenne est de 25 %. Une partie a été valorisée dans la restauration du couvert végétal d'une sablière à la municipalité de Port-Cartier conformément au certificat d'autorisation.</t>
  </si>
  <si>
    <t>Ouvrage municipal d'assainissement des eaux usées de Saint-Ferdinand</t>
  </si>
  <si>
    <t>Saint-Ferdinand</t>
  </si>
  <si>
    <t>CELLULE # 1 DATE DE DEBUT 30 OCTOBRE 2020 . DATE DE FIN 5 NOVEMBRE 2020 . METHODE POMPAGE . QUANTITÉ SOUTIRÉE : 277.01m3 . SICCITÉ MOYENNE : 27%_x000D_
CELLULE #3 DATE DE DEBUT  22 OCTOBRE 2020 . DATE DE FIN 29 OCTOBRE 2020   .METHODE  POMPAGE . QUANTITÉ SOUTIRÉE :708.74m3  .SICCITÉ MOYENNE :17%</t>
  </si>
  <si>
    <t xml:space="preserve">MÉTHODE ÉPANDAGE . LIEU : FERME JÉROME POIRIER INC. QUANTITÉ ÉVACUÉE : 277m3 . SICCITÉ MOYENNE : 27% .CELLULE #1 DATE DE DÉBUT : 30 OCTOBRE 2020 DATE DE FIN _x000D_
5 NOVEMBRE 2020. METHODE VIDANGE: POMPAGE._x000D_
MÉTHODE : ÉPANDAGE . LIEU : FERME JÉROME POIRIER INC. QUANTITÉ EVACUÉE : 708.74m3 . SICCITÉ MOYENNE :17% . CELLULE #3 DATE DE DEBUT 22 OCTOBRE 2020 ._x000D_
DATE DE FIN : 29 OCTOBRE 2020 . MÉTHODE VIDANGE : POMPAGE ._x000D_
</t>
  </si>
  <si>
    <t>Sortie de boue le 18 novembre 2020, envoyer 27.34 tonnes siccité de 32.36% et 33.46% chez  Ferme Dufort et Fils inc. 1278, rang Double Saint-Lin-Laurentides.</t>
  </si>
  <si>
    <t>88,2 TM de boues déshydratées par filtre à bande avec une siccité moyenne de 17,8%, soit 15,7 TMS, valorisée par la firme Épursol à Mirabel.</t>
  </si>
  <si>
    <t>2894.28 tonnes de cendres ont été enfouies au LET de la station J-R Marcotte et 2042.93 tonnes de Fertili Cendres ont été valorisées en épandage agricole</t>
  </si>
  <si>
    <t>EBI,Saint-Thomas, 27.09 t.m. , 13.3 % de siccité moyenne</t>
  </si>
  <si>
    <t>vidange puits à boue et bassin d'égalisation numéro 1 du 10-11 au 13-11_x000D_
12,45 camions de 3000 gallons soit environ 37 350 gallons _x000D_
par méthode de pompage _x000D_
2.1% de matière sèche_x000D_
envoyée vers le centre d'intercommunale de Thetford mines</t>
  </si>
  <si>
    <t>Vidange de la fosse à boue ( 220 mètre cube de boues liquide le 9 novembre 2020 avec 2 pompes à gaz et 2 camions citerne avec une siccité moyenne de 3%.</t>
  </si>
  <si>
    <t>le 9 novembre 2020 le bassin de boue du 273 Armand Majeau avec camion citernes, au ferme Dufort et frère inc, 1278 rang Double Saint-Lin-Laurentides QC, J5M1X8.  220 mètres cubes de boues liquides avec une siccité moyenne de 3%</t>
  </si>
  <si>
    <t>Boues déshydratées par électro-déshydratation. Revalorisation agricole chez M.Legault New rin Godmanchester, Neo Gilbert Campeau Ste Marthe et M. Séguin St Rédempteur M6. 203.4 tonnes métriques de boues avec une siccité moyenne de 18.2%.</t>
  </si>
  <si>
    <t xml:space="preserve">Nous avons envoyé 85.12 tonnes métriques de boue déshydratée en valorisation  à la ferme R. Bessette SENC / Structure 1673, Rang Kempt St-Alexandre QC J0J 1S0 . La siccité moyenne a été de 18.1% . De plus nous avons envoyé en enfouissement au 25 Rue Gagnon St-Nycéphore 1.9 m3 de sables et 0.6 m3 de déchets de dégrillage . </t>
  </si>
  <si>
    <t>vidange des boues des deux fosses septique le 12 novembre par camion vacuum pour un volume total de 38 m3.</t>
  </si>
  <si>
    <t xml:space="preserve">38 m3 de boues ont étés retirer des deux fosses par camion vacuum et transporter au site de pompage sanitaire mont tremblant le 12 novembre </t>
  </si>
  <si>
    <t>Vidange de boues effectuées du 20 au 28 octobre. La compagnie Simtec environnement a effectué la vidange dans des géo tubes avec une siccité moyenne de 7%. Ils ont sorti 80 tonnes estimées dans la cellule # 4.</t>
  </si>
  <si>
    <t xml:space="preserve">Disposition par enfouissement au site d'environ connexion situé au 3779 chemin des 40-Arpents Terrebonne , quantité de boue évacuée de 1576 m3 avec une siccité moyenne de 22% , boue digérée par 2 digesteurs anaérobies du 1er au 30 novembre 2020 et boues déshydratées par centrifugation . </t>
  </si>
  <si>
    <t>Nous avons revalorisé 165.6 Tonnes de boues ayant une siccité moyenne de 19.85% à la mine Jeffrey.</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</si>
  <si>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44477 m3  _x000D_
Siccité moyenne : 3.66 %_x000D_
N.B. : Cette quantité comprend les boues des stations Est et Ouest combinées_x000D_
</t>
  </si>
  <si>
    <t xml:space="preserve">Valorisation des boues _x000D_
lieux: Jean Gosselin (35), Ferme Janayo inc. , Mario Vaillancourt (fosse #2 et structure #1), Ferme Luro inc.(22), Ferme Denis Lebrun, Ferme des Cantons (2012/structure)_x000D_
qté évacuées: 1453.87 TM_x000D_
siccité moyenne:_x000D_
2	16,08	3	15,86	4	16,28	5	15,99	6	15,33	7	16,05	9	16,20	10	16,46	11	17,62	12	16,23	13	15,17	14	15,92	16	16,54	17	16,23	18	16,33	19	16,62	20	15,51       21	16,21	23	16,34	24	16,70	25	15,88	26	16,01	27	15,09	28	16,26			30	17,08    Moyenne mensuelle:	16,16																						_x000D_
_x000D_
</t>
  </si>
  <si>
    <t>Valorisation agricole / JMV Environnement / 303,6 tonnes métriques évacuées / Siccité moyenne de 36,02%</t>
  </si>
  <si>
    <t>vidange de la fosse a boue.  9 voyage du camion citerne</t>
  </si>
  <si>
    <t>Fait le 11 Novembre 2020. _x000D_
Poste de pompage 1 : 6m³ ; Fosse partie 1 : 44m³ ; Fosse partie 2 ; 16m³ ; Bassin des boues : 18 m³.</t>
  </si>
  <si>
    <t xml:space="preserve">Fait le 11 Novembre 2020._x000D_
Poste de pompage 1 : 6m³ ; Fosse partie 1 : 44m³ ; Fosse partie 2 ; 16m³ ; Bassin des boues : 18 m³._x000D_
Soit au total 84 m³ de boues vidangées et acheminées chez Campor environnement à Rivière du Loup. </t>
  </si>
  <si>
    <t xml:space="preserve">vidange de la fosse septique en novembre </t>
  </si>
  <si>
    <t>Une déshydratation par centrifugeuse a eu lieu du 02 au 30 Novembre 2020. Le volume total est de 217,6 tonnes avec une siccité de 21,1%. Les boues ont été disposée pour une revalorisation agricole par la firme Viridis Environnement.</t>
  </si>
  <si>
    <t xml:space="preserve">vidange de l'étang 1 , entre le 3 et le 10 Novembre par déshydratation positive , on vous communique les résultats aussitôt le rapport sortie </t>
  </si>
  <si>
    <t>Les boues sont pompées en continue à partir de notre décanteur primaire et de nos deux décanteurs secondaires pour être dirigées vers un cuvier de boues mixtes duquel les boues sont déshydratées à l'aide de 4 presses à vis.  La siccité moyenne mensuelle pour le mois de novembre a été de 38.52%._x000D_
_x000D_
Les boues ont été disposées de deux façons:_x000D_
2003 tonnes ont été brûlées (cogen) à l'usine de Bromptonville_x000D_
2272 tonnes ont été en valorisation agricole</t>
  </si>
  <si>
    <t xml:space="preserve">Une quantité totale de boues déshydratées de 1 043 803 kg de MS d'une siccité moyenne de 27.8 % ont été disposées soit 472 497 kg de MS ont été incinérées à la station d'épuration et 571 306 kg de MS ont été évacuées par la firme JMV Environnement pour en réaliser l'épandage. </t>
  </si>
  <si>
    <t>Lien d'élimination pour l'enfouissement : Lachenaie pour 569,8 TM avec siccité moyenne de 30,2%_x000D_
Déchets : dégrillée 3,7 m3_x000D_
                déssablée 2,0 m3</t>
  </si>
  <si>
    <t>Pompage des boues liquides (510 m3) dans une citerne et disposition directement au champs. Siccité moyenne d'environ 3%._x000D_
Date de la disposition : 5 novembre 2020</t>
  </si>
  <si>
    <t>Vidange des boues du digesteur 2, Plusieurs date répertorié par le sous traitant, par vaccum, plusieurs voyages pour un total de 180 mètres cubes.</t>
  </si>
  <si>
    <t>Élimination des boues à la station d'épuration de Sherbrooke, volume total de 237 m3 avec une siccité de 4.8 %.</t>
  </si>
  <si>
    <t>Les boues sont acheminer par voyage (N=66 ) vers Valorisation agricole et gazon savard ,volume du mois est 682,47 m³ ,dune siccité de 14.07 % traiter du lundi au vendredi par trois F A B ,deux dégrémont (à air) et un mabarex (hydraulique) .</t>
  </si>
  <si>
    <t>Transporté hebdomadairement par un camion déchet au site d'enfouissement sanitaire de la MRC de Lotbinière, la quantité de boues évacuée est de .65 m3._x000D_
_x000D_
Nous avons un système de dégrillage fin pour le traitement des eaux usées.</t>
  </si>
  <si>
    <t>étend aéré , cellule 2,  par pompage ds lit gel dégel . 103.6 m3  2020- 11- 16 ,  sisité liquide, 15%</t>
  </si>
  <si>
    <t xml:space="preserve">dans lit de séchage gel dégel </t>
  </si>
  <si>
    <t>(voir rapport du mois d'octobre).</t>
  </si>
  <si>
    <t>Barnston_x000D_
Filtre a bande_x000D_
5 Nov. 5.53tm 15.1%_x000D_
19 Nov. 5.6tm 15%</t>
  </si>
  <si>
    <t>78,38 tonnes de boues ont été acheminées sur la plateforme de compostage de la Ville de Lac-Mégantic à une siccité de 15,8%.</t>
  </si>
  <si>
    <t xml:space="preserve">Réacteurs biologiques séquentiels nos 1, 2, 3 et 4_x000D_
du 1er au 31 décembre_x000D_
Purge de boues à chaque séquence par réacteurs, boues ensuite accumulées dans le bassin de stockage de boues_x000D_
Mesures quotidiennes des purges avec débitmètre, un volume total de 175,3 m3 soutiré pour le mois_x000D_
</t>
  </si>
  <si>
    <t>Déshydratation par filtre à bande, centre de transfert de Vaudreuil et site d'enfouissement_x000D_
Quantité transférée totale : 151,5 m3 _x000D_
Siccité moyenne: 15,8%_x000D_
Vidange par benne à boues, du 1er au 31 décembre</t>
  </si>
  <si>
    <t>Disposition des rebus dans le conteneur a déchets_x000D_
Quantité : 1.26 m3</t>
  </si>
  <si>
    <t>Les travaux, de soutirage par dragage et déshydratation par centrifugeuse des boues, débutés le 18 novembre se sont terminés le 2 décembre 2021.  La quantité des boues soutirées ont été de 236 TMS de l'étang #3 (dernier) et 251 TMS de l'étang #2 (avant dernier), les boues ayant une siccité moyenne d'au moins 22%.</t>
  </si>
  <si>
    <t xml:space="preserve">Lors du mois de décembre 2020, un total de 1 044 481 kg de MS de boues déshydratées d'une siccité moyenne de 27.1% ont été disposées, soit 481 990 kg de MS par incinération à la station d'épuration et 562 491 kg de MS par la firme JMV Environnement pour épandage. </t>
  </si>
  <si>
    <t>25,2+23,2+21,1+21,9+21,9+23,7+16,7=153,7 tonnes de boues déshydratées et enfouies par Viridis Environnement avec une siccité d'environ 16,4%</t>
  </si>
  <si>
    <t>Valorisation agricole / JMV Environnement / 434,2 tonnes métriques évacuées / Siccité moyenne de 30,47%</t>
  </si>
  <si>
    <t xml:space="preserve">Les boues sont déshydratées par filtre à bande du lundi au vendredi et disposées par camion benne de 14 M3 soit en valorisation ou au compostage._x000D_
La quantité total évacuée pour décembre est de 221 M3 à siccité moyenne de 16.2% </t>
  </si>
  <si>
    <t>Enfouissement de 3368 tonnes de cendres (RT moyen environ 63%) au LET de la Ville de Montréal</t>
  </si>
  <si>
    <t>Le soutirage des boues a été effectué avec une pompe à boues et manoeuvrer  sur un radeau sur la cellule 3 qui a débuté  à  mi novembre 2020  et pomper sur un lit de séchage  qui aura effet  gel dégel et par la suite continuer à l'été 2021._x000D_
Aucune siccité a été fait au laboratoire devra être fait en 2021  en soutirant d'autre boues.</t>
  </si>
  <si>
    <t>Début de vidange des boues le 23 Novembre et fin le 2 Décembre</t>
  </si>
  <si>
    <t>729,8 tonnes à la valorisation</t>
  </si>
  <si>
    <t>Les boues sont pompées en continue à partir de nos deux décanteurs secondaires et de notre décanteur primaire pour être dirigées vers un cuvier de boues mixtes duquel les boues sont déshydratées avec l'aide de 4 presses à vis.  La siccité moyenne mensuelle pour le mois de décembre a été de 42.54%._x000D_
_x000D_
Les boues ont été disposées de deux manières:_x000D_
1978 tonnes ont été envoyées à l'usine de Bromptonville (cogénération)_x000D_
3571 tonnes ont été valorisées agricolement.</t>
  </si>
  <si>
    <t xml:space="preserve">On a déshydratés 78.72 tonnes métriques de boue . On a obtenu une siccité moyenne de 16.5%  Cette boue déshydratée. été valorisé sur la ferme R. Bessette SENC/Structure 1673 Rang Kempt St-Alexandre QC  j0j 1s0. On a aussi disposé de 2 tonnes métrique de déchets de dessablage  et 1.1 tonne métrique de déchets de dégrillage   en enfouissement au 25 rue Gagnon St-Nycéphore. </t>
  </si>
  <si>
    <t>Déshydratation des boues par centrifugeuse._x000D_
Valorisation par Viridis Environnement_x000D_
Quantité totale mensuelle:  116,6 Tonnes métrique _x000D_
Siccité moyenne:  22,3 %</t>
  </si>
  <si>
    <t>Enfouissement : BFI Lachenaie 682,4 TM  avec siccité moyenne de 30,2 %	_x000D_
Déchet dégrillée: 4,6 m3_x000D_
             déssablée: 3,2 m3</t>
  </si>
  <si>
    <t xml:space="preserve">Enfouissement : BFI Lachenaie 422,3 TM  avec siccité moyenne de 28,1 %	_x000D_
Déchet dégrillée: 17,93 TM_x000D_
             déssablée: 22,97 TM_x000D_
Aide coagulant (AE400) : 1950 kg_x000D_
	_x000D_
		_x000D_
</t>
  </si>
  <si>
    <t xml:space="preserve">- Déchets retirés par les dégrilleurs : 39   m3. _x000D_
- Sable retiré par le ou les dessableurs :  46.89   tonnes. _x000D_
- Disposition de 2620.44   tonnes de boues à 22.67  % de siccité par Uteau Valorisation. _x000D_
- Disposition de  0  tonnes de granules à 0  % de siccité par Ralph M Lang Custom Inc. Shawville. _x000D_
</t>
  </si>
  <si>
    <t>Méthode de disposition : Enfouissement Lieu de disposition : L.E.T. de la MRC de Charlevoix-Est Quantité de boues évacuée : environ 65 m3 (42.61 tonnes) provenant des bassins 1 et 2 Date d'opération du pressoir : 1-3-9-15-16-22-29. Siccité moyenne : 23.86% Bassin de boues 1 et 2.</t>
  </si>
  <si>
    <t>91,83tonnes de boues ont été acheminées sur la plateforme de compostage de la Ville de Lac-Mégantic à une siccité de 15,6%.</t>
  </si>
  <si>
    <t>664.79 tm humides à 16.44% envoyées au site de compostage de Gesterra à St-Rosaire.</t>
  </si>
  <si>
    <t>Valorisation à Saint-Chrysostome, 142.88 MH</t>
  </si>
  <si>
    <t xml:space="preserve">Enfouissement : BFI Lachenaie 501,2 TM  avec siccité moyenne de 30,1 %	_x000D_
Déchet dégrillée: 13,3 m3_x000D_
             déssablée: 12,0 m3_x000D_
Aide coagulant (AE400) : 925 kg_x000D_
</t>
  </si>
  <si>
    <t xml:space="preserve">Méthode: Compostage. Lieu Gazon Savard _x000D_
Quantité: 1077.78 T.M. et siccité de 14.3 %_x000D_
</t>
  </si>
  <si>
    <t>Les boues de Vaudreuil-Dorion sont déshydratées par tambour rotatif suivi de centrifugeuse. Le total de boues du produites au mois de décembre est de 529,92 tonnes humides avec une siccité moyenne de 20,6 % . Les boues ont été valorisées par Matrec et NéoEnvironnement. 69,45 T. sont allés chez M.Legault New Erin Godmanchester, 163,18 T. sont allés chez M.Lauzon Rigaud Champs 1A et 79,91 T. sont allés chez m. Séguin St-Rédempteur Champs BM6.</t>
  </si>
  <si>
    <t>Disposition par camion benne. Lieux de disposition: Ferme D. Lalande Saint-André (246,54 m³), Sablière Lachute (158,17 m³) et Ferme Benallan Lachute (22,67 m³). Pour un total mensuel de 427,38 m³. Siccité moyenne: 24,9 %.</t>
  </si>
  <si>
    <t>70060 Kg disposée chez Campor environnement inc. avec une siccité moyenne de 10.04 %</t>
  </si>
  <si>
    <t>EBI, St-Thomas, 26.42 t.m. ,15.34 de siccité moyenne</t>
  </si>
  <si>
    <t>Disposition par enfouissement au site EBI, 30,45m3, siccité moyenne de 11,3%</t>
  </si>
  <si>
    <t>Du 01 au 31 décembre 2020, les boues acheminées au bassin d'extraction, sont centrifugées a une siccité de 22%. au total 86.85 ont tonnes ont été valorisées par Viridis environnement à la ferme du ruisseau Mirabel.</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</si>
  <si>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41760 m3  _x000D_
Siccité moyenne : 3.72 %_x000D_
N.B. : Cette quantité comprend les boues des stations Est et Ouest combinées_x000D_
</t>
  </si>
  <si>
    <t>76.35 TM de boues déshydratées par filtre à bandes avec une siccité moyenne de 16,7%, soit 12,75 TMS, valorisées par la firme Epursol à Mirabel.</t>
  </si>
  <si>
    <t>Nous avons revalorisé 128.8 tonnes de boues avec une siccité moyenne de 18.2 % à la mine Jeffrey</t>
  </si>
  <si>
    <t>Boues déshydratées par un pressoir rotatif. 61,0m3 de boues ont été envoyées au LET de Gaspé avec une siccité moyenne de 25,24%.</t>
  </si>
  <si>
    <t>Sortie de boue le 11 décembre 2020,  siccité de 12.3% entreposer sur place chez Ferme Dufort et Fils inc. 1278, rang Double Saint-Lin-Laurentides.</t>
  </si>
  <si>
    <t>Déshydratation des boues par pressoir rotatif dont la siccité moyenne est de 23.3% Transport par camion vers le champs (valorisation) 388.9 T.M</t>
  </si>
  <si>
    <t>Valorisation de 453.2 tm de boue transportée à 22.3 % de siccité.</t>
  </si>
  <si>
    <t>181.56 Tonnes de boues traitées par électro-déshydratation.  Siccité moyenne de 21.2%.  Lieux de disposition;  M. Legault New Rin, Godmanchester et M. Séguin, St-Rédempteur (champs 1).</t>
  </si>
  <si>
    <t xml:space="preserve">Valorisation agricole : 938.8 TM - Agrobiosol 488.60 - Ferme L &amp; Y  Toupin	92.83$ - Alberton 178.70$_x000D_
</t>
  </si>
  <si>
    <t>88.16TM à Les coteaux à 23% envoyé par camion dans une benne._x000D_
40.23TM à agro à 23% envoyé par camion dans une benne.</t>
  </si>
  <si>
    <t>Nous avons fait évacuer des boues par camion vers l'usine d'épuration de Valleyfield via la compagnie Sanivac. Il est sortie 290 mètres cubes de boues liquides à une siccité moyenne de 1.5%. Nous avons concentré les boues dans le bassin #1 et la vidange à eu lieu le 08 décembre 2020. Évacuation par camion vacuum.</t>
  </si>
  <si>
    <t xml:space="preserve">_x000D_
Déshydratations quotidienne par Centrifugeuse, disposition ferme Ruisseau Mirabel et aussi à la ferme Pert Champs #9 pour la valorisation des boues, quantités disposées 74,62 tonnes métrique humides (THM), avec une siccités moyenne mensuelle de 26,5 %. Provenant de l'épaississeur._x000D_
</t>
  </si>
  <si>
    <t>Pour le mois de décembre, nous avons disposée de la boue 5 fois par semaines. La siccité moyenne pour le mois à été de 17.2%_x000D_
Nous avons envoyé 1975.58 Tonnes de boues et revalorisation agricole et 223.56 Tonnes aux site minier. Pour un total de boue disposée_x000D_
de 2199.14 Tonnes.</t>
  </si>
  <si>
    <t xml:space="preserve">Les boues ont été transportées par camion benne au site de compostage de la MRC, afin d'en faire du compost. La quantité de boues transporté est de 286,4 m3 avec une siccité moyenne de 14,2 %. </t>
  </si>
  <si>
    <t>319.3 tonnes métriques de boue à 18,7% de siccité. Valorisation des boues par Viridis environnement. (Mine de Black Lake et ferme Royal Holstein St-Martin).</t>
  </si>
  <si>
    <t>3 décembre 2020 vidange de la boite a déchet  _x000D_
deux voyages de 3000 gallon chacun</t>
  </si>
  <si>
    <t>Lagune municipalité de Bouchette</t>
  </si>
  <si>
    <t>35 300 kg de boues d'une siccité moyenne de 16,5% sont envoyées en valorisation dans la Municipalité de Saint-Alexandre.</t>
  </si>
  <si>
    <t xml:space="preserve">5 Vidanges. 1= 1218 Tonnes à 1,9%. 23 TMS 2= 407 T. à 4% 20 TMS 3= 86 T à 8,9% 8 TMS 4= 576 T à 5% 29 TMS 5= 810 T à 5% siccité 41  TMS pour un total de 121 Tonnes métriques sèche extrait en décembre 2020. Lieu de disposition: Usine épuration Salaberry-de-Valleyfield. Vidanges des décanteurs #1 et #2 dans le cadre de la mise à niveau de l'usine d'épuration, par camion vacuum. </t>
  </si>
  <si>
    <t xml:space="preserve">Une entreprise prend en charge la disposition des boues et transporte le tout directement à son usine._x000D_
La quantité de boues évacuée est de 0.95 m3 sur une période de 29 jours._x000D_
</t>
  </si>
  <si>
    <t>Entreposage des boues aux champs et valorisation agricole. 749,72 TM à une siccité moyenne de 17,1%. Disposition au besoin chez Englobe (Compost du Québec à St-Henri).</t>
  </si>
  <si>
    <t>Date de sortie des boues: 04-08-15-22-29 decembre. Quantité: 19.5-19.6-20.3-20.0-20.3 tonne. Siccité moyenne: 31.2%. Lieu de disposition: Gestion Juno et Frères Inc.</t>
  </si>
  <si>
    <t>Système de presse a boues, l'évacuation ce fait par la société ENVIROCONNEXION, vers le site d'enfouissement de LACHENAIE._x000D_
La quantité de Boues évacués pour le mois de Décembre est de 356.6 tonnes</t>
  </si>
  <si>
    <t>Disposition de 1226 TM de boue à 41,6% de siccité par la firme Viridis_x000D_
_x000D_
À noter qu'une analyse complète d'un échantillon de boues déshydratées a été effectuée.</t>
  </si>
  <si>
    <t>le 1er décembre vidange du bassin des boues par viridis environnement camion pompe citerne acheminé vers fosse bessette St-Alexandre 70.460 m3</t>
  </si>
  <si>
    <t>Ouvrage municipal d'assainissement des eaux usées de Sainte-Félicité (Matane)</t>
  </si>
  <si>
    <t>Sainte-Félicité</t>
  </si>
  <si>
    <t>Mesure des boues en date du 17-06-2020</t>
  </si>
  <si>
    <t>2020-12-08 : La vidange des boues d'alun du décanteur secondaire a été fait par la firme Enviro-5.</t>
  </si>
  <si>
    <t>2020-12-08 : La disposition des boues a été faite par la firme Enviro-5.</t>
  </si>
  <si>
    <t>Déchets retirées 1 mètre cube 3/4</t>
  </si>
  <si>
    <t>Une déshydratation par centrifugeuse a eu lieu du 02 au 30 Décembre 2020. Le volume total est de 226.3 tonnes avec une siccité de 20,5%. Les boues ont été disposée pour une revalorisation agricole par la firme Viridis Environnement.</t>
  </si>
  <si>
    <t xml:space="preserve">Disposition des boues par enfouissement au site d'environ Connexion 3779 chemin des 40-Arpents Terrebonne , 2172 m3 de boues évacuées , siccité moyenne de 22.09% , boues digérées par 2 digesteurs anaérobiques du 1er au 31 décembre 2020 par centrifugation . </t>
  </si>
  <si>
    <t>232180 kg total de boues à une siccité moyenne de 16.7%_x000D_
Valorisé par la firme Viridis</t>
  </si>
  <si>
    <t>1,5 m3</t>
  </si>
  <si>
    <t>Les boues sont acheminer par voyage (N=66 ) vers Valorisation agricole et gazon savard ,volume du mois est 852.48 m³ ,dune siccité de 14.07 % traiter du lundi au vendredi par trois F A B ,deux dégrémont (à air) et un mabarex (hydraulique) .</t>
  </si>
  <si>
    <t>Transport et disposition: Engloble, Les Compost du Québec inc._x000D_
Quantité: 132.25t.m._x000D_
Siccité: 32%</t>
  </si>
  <si>
    <t>Méthode de disposition: Camion citerne,_x000D_
Lieu de disposition: Chénéville,_x000D_
Quantité: 46 m3,_x000D_
Siccité: 15 %,_x000D_
Bassin: Chambres de vannes,_x000D_
Date: 15-12-2020,_x000D_
Méthode utilisée: Vacuum.</t>
  </si>
  <si>
    <t>Fermeture de l'aération de l'étang #2  du 01-12-20 de 0h00 au 02-12-20 à 14h00 pour vidange des boues.</t>
  </si>
  <si>
    <t>Élimination des boues à la station d'épuration de Sherbrooke, volume total 293 m3 avec une siccité de 4.6%.</t>
  </si>
  <si>
    <t>44.55kg</t>
  </si>
  <si>
    <t>Filtre a bande _x000D_
Barnston_x000D_
17 Dec. 5.64tm 15.8%</t>
  </si>
  <si>
    <t>1.210 m3 ramassée</t>
  </si>
  <si>
    <t>N/A</t>
  </si>
  <si>
    <t>Non</t>
  </si>
  <si>
    <t>Oui</t>
  </si>
  <si>
    <t>ND</t>
  </si>
  <si>
    <t>Quantité (tonnes)
Épandage agricole</t>
  </si>
  <si>
    <t>Siccité moyenne (%)</t>
  </si>
  <si>
    <t>Quantité (tonnes)
Compostage</t>
  </si>
  <si>
    <t>Quantité (tonnes)
Restauration site</t>
  </si>
  <si>
    <t>Quantité (tonnes)
Sylviculture</t>
  </si>
  <si>
    <t>Quantité (tonnes)
Enfouissement</t>
  </si>
  <si>
    <t>Quantité (tonnes)
Incinération</t>
  </si>
  <si>
    <t>Notes de RECYC-QUÉBEC</t>
  </si>
  <si>
    <t>Barnston Par filter a bande
9 Jan 5.4tm 15%
14 Jan 5.5 15.3%
20 Jan 5.7tm 15.4%
24 Jan 5.5tm 15.2%</t>
  </si>
  <si>
    <t>Les boues ont été considérées comme ayant une densité de 0,8 tonne/m3 pour transposer le volume en tonnage.</t>
  </si>
  <si>
    <t>Bien que la précision soit manquante, l'ensemble du tonnage a été considéré comme épandu en milieu agricole.</t>
  </si>
  <si>
    <t>En raison du manque de précision, les quantités saisies correspondent au volume déclaré par l'exploitant.</t>
  </si>
  <si>
    <t>Aucune boue n'a été comptabilisée en raison du manque d'information.</t>
  </si>
  <si>
    <t>En raison du manque de précision, les quantités saisies correspondent au volume déclaré (gallons transposés en m3). 
Bien qu'il soit indiqué que les boues aient été acheminées à la Régie de Thetford Mines, le mode de disposition n'est pas connu.</t>
  </si>
  <si>
    <t>24,3% (boues)
95,92 % (granules)</t>
  </si>
  <si>
    <t>25,16 % (boues)
96,14 % (granules)</t>
  </si>
  <si>
    <t>25,15% (boues)
96,04 % (granules)</t>
  </si>
  <si>
    <t>24,47 % (boues)
96,09 % (granules)</t>
  </si>
  <si>
    <t>24,36 % (boues)
96,04 % (granules)</t>
  </si>
  <si>
    <t>21,18 % (boues)
95,79 % (granules)</t>
  </si>
  <si>
    <t>22,25 % (boues)
95,53 % (granules)</t>
  </si>
  <si>
    <t>25,63 % (boues)
96,59% (granules)</t>
  </si>
  <si>
    <t>Aucune boue considérée comme étant disposée puisqu'elles ont été acheminées vers un géotube et seront disposées ultérieurement.</t>
  </si>
  <si>
    <t>Aucune boue considérée comme étant disposée puisqu'elles ont été acheminées dans une lagune et seront disposées ultérieurement.</t>
  </si>
  <si>
    <t>Aucune boue considérée comme étant disposée puisqu'elles ont été acheminées vers un lit de séchage et seront disposées ultérieurement.</t>
  </si>
  <si>
    <t>Disposition de boues prise en compte sous "Ouvrage municipal d'assainissement des eaux usées d'Hudson".</t>
  </si>
  <si>
    <t>Disposition de boues prise en compte sous "Ouvrage municipal d'assainissement des eaux usées de Salaberry-de-Valleyfield". Les boues ont été recyclées soit par épandage en milieu agricole ou par compostage.</t>
  </si>
  <si>
    <t xml:space="preserve">La vidange des boues de l'étang no 1 a été effectuée par la compagnie MMK-7 qui a enlevé 3300 m³. Les travaux ont débuté le 1er septembre 2020 et terminé le 12 septembre 2020. La méthode de récupération des boues a été par Mélange et soutirage. Par la suite les boues sont passées sur un dégrilleur pour séparer les résidus solides et acheminées dans différents conteneurs.
</t>
  </si>
  <si>
    <t>Les boues ont été considérées comme étant liquides ; une densité de 1 tonne/m3 a été utilisée pour transposer le volume en tonnage.</t>
  </si>
  <si>
    <t>Les boues soutirées, mais dont la disposition sera faite lors d'une année subséquente seront comptabilisées au moment de leur disposition.</t>
  </si>
  <si>
    <t>En raison du manque de précision, les quantités saisies correspondent au volume déclaré par l'exploitant (gallons transposés en m3).</t>
  </si>
  <si>
    <t>Aucune boue considérée comme étant disposée puisqu'elles ont été acheminées vers une station d'épuration (Ontario) dont le mode de disposition est inconnu.</t>
  </si>
  <si>
    <t>Aucune boue considérée comme étant disposée puisqu'elles ont été acheminées vers un lit de séchage gel-dégel et seront disposées ultérieurement.</t>
  </si>
  <si>
    <t>Quantité (tonnes)
Mode recyclage non précisé</t>
  </si>
  <si>
    <t xml:space="preserve">% SICCITÉ : 03 mars 17.70%, 09 mars 19.20%, 10 mars 21.30%, 11 mars 19.70%, 12 mars 18.20%, 13 mars 18.10%, 16 mars 19.46%, 17 mars 23.42%, 18 mars 22.36%, 31 mars 23.42% MOYENNE 20.29% 
QUANTITÉ BOUES ÉVACUÉES (T.M.) : (FERME DU RUISSEAU MIRABEL) 02 mars 22.86 TM,  04 mars 10.63 TM, 06 mars 9.81 TM, 10 mars 20.94 TM, 16 mars 10.68 TM, 12 mars 9.65 TM, 20 mars 12.17 TM, 23 mars 9.48 TM, 24 mars 6.91 TM, 27 mars 10.37 TM, 31 mars 9.40 TM  : TM TOTAL : 132.9 TM </t>
  </si>
  <si>
    <t>Aucune boue considérée comme étant disposée bien qu'une vidange ait été effectuée. Les boues seront possiblement disposées ultérieurement.</t>
  </si>
  <si>
    <t>Les boues soutirées ont été considérées à 4 % de matières sèches, pour un total de 560 tonnes sèches qui ont été ramenées à 26,5 % de siccité.</t>
  </si>
  <si>
    <t>Données saisies dans le mois précédent (juillet).</t>
  </si>
  <si>
    <t>Les boues ont été comptabilisées sous "Ouvrage municipal d'assainissement des eaux usées de Québec (Est)"</t>
  </si>
  <si>
    <t>La quantité comptabilisée correspond à du digestat.</t>
  </si>
  <si>
    <t>En raison du manque de précision, les quantités saisies correspondent au volume déclaré par l'exploitant et les quantités disposées ont été saisies sous "Mode de disposition non précisé".</t>
  </si>
  <si>
    <t>Disposition de boues prise en compte sous "Ouvrage municipal d'assainissement des eaux usées de Saint-Cyrille-de-Wendover".</t>
  </si>
  <si>
    <t>Les 44,37 tonnes de matières sèches ont été ramenées à 20 % de siccité.</t>
  </si>
  <si>
    <t>Aucune boue considérée comme étant disposée.</t>
  </si>
  <si>
    <t>Disposition de boues prise en compte sous "Ouvrage municipal d'assainissement des eaux usées de Québec (Est)". Les boues ont été incinérées.</t>
  </si>
  <si>
    <t>Il a été présumé que les volumes soutirés indiqués par l'exploitant sont sous état liquide (4 % m.s.). Les volumes ont donc été ramemés à un pourcentage de siccité de 29,7 %, puis transposés en tonnage en considérant une densité des boues de 0,8 tonne/m3.</t>
  </si>
  <si>
    <t>Valorisation agricole. lieu St-Thélesphore , Ch grade cote, champs 31, 31.82 m3 , à 24.71% de siccité. 
Valorisation agricole. Lieu St-Thélesphore , Route 340, champs 34, 286.37 m3 , à 24.94% de siccité. 
Valorisation agricole. lieu St-Thélesphore , Ch St-André, champs 150.76 m3 , à 24.93% de siccité. 
Valorisation agricole. Lieu Valleyfield , Boul. Bord de leau, champs 73, 135 m3 , à 24.59% de siccité. 
Valorisation agricole. Lieu St-Urbain Premier, Rang Double, champs 4, 175.13 m3 , à 25.24% de siccité.
Valorisation agricole. Lieu St-Polycarpe , Ch Ste-Catherine, champs 7, 116.45 m3 , à 24.88% de siccité.
Valorisation agricole. Lieu St-Polycarpe , Ch Ste-Catherine, champs 64, 428.56 m3 , à 24.42% de siccité.
Valorisation agricole. Lieu St-Polycarpe , Ch Ste-Catherine, champs 64, 428.56 m3 , à 24.42% de siccité.
Valorisation agricole. Lieu Les Coteaux , Ch Lippé, champs 33, 176.120m3 , à 21.04% de siccité.
Valorisation agricole du 28 mai au 23 juin 2020.
Cellule 2-3-4</t>
  </si>
  <si>
    <t>Disposition de boues prise en compte sous "Ouvrage municipal d'assainissement des eaux usées de Sherbrooke".</t>
  </si>
  <si>
    <t>Disposition de boues prise en compte sous "Ouvrage municipal d'assainissement des eaux usées d'East Angus" qui a acheminé les boues vers un lit gel-dégel.</t>
  </si>
  <si>
    <t>Les boues acheminées dans les géotubes n'ont pas été comptabilisées puisque leur disposition sera effectuée ultérieurement.</t>
  </si>
  <si>
    <t>En raison du manque de précision, le tonnage a été réparti également entre "Épandage agricole" et "Compostage".</t>
  </si>
  <si>
    <t xml:space="preserve">La vidange des boues s'est faite par camion vacuum. Aucune siccité n'a cependant été mesurée. La vidange a été faite le 8 Octobre 2020. Un volume de 2.5m3 de boues a été soutiré.
La vidange s'est faite dans la chambre des préfiltres en amont du bassin de dosage. </t>
  </si>
  <si>
    <t>Vidange et nettoyage complet du digesteur les 15-16-17 juin 2020.
Utilisation de camion vacuum et disposition chez 2453-2006 Qc. Inc.
Quantité évacuée: 202 300Kg (44 962 gallons). 
Siccité: 2.6</t>
  </si>
  <si>
    <t>Lieu de Disposition: Roxton Pond
Quantité de boues: 196 170 Kg
Lieu de la vidange: Digesteur, par camion vaccum
Date de vidange: 14-15-16 Octobre 2020</t>
  </si>
  <si>
    <t>La quantité de boues disposée en 2020 est indiquée sous la ligne du mois d'août 2020.</t>
  </si>
  <si>
    <t xml:space="preserve">Début de la vidange :                    21 juillet
Fin de la vidange :                           31 juillet
Méthode :                                         Collecte des boues par dragage et séchage mécanique des boues par centrifugeuse électrique
Siccité moyenne des boues :     30%
Quantités enlevées :                     315 tonnes de masse sèche, donc environ 1000m³
Disposition :                                      Revalorisation dans différents champs agricoles de la Région
bassin étang #1
</t>
  </si>
  <si>
    <t>2,4 % et 15 %</t>
  </si>
  <si>
    <t>18 % et 2,4 %</t>
  </si>
  <si>
    <t>Le volume de boues avec siccité de 2,4 % a été transposé en tonne en utilisant une densité de 1 tonne/m3. Le volume de boues avec siccité de 15 % a été transposé en tonnes en utilisant une densité de 0,8 tonne/m3.
Le site de disposition présumé est Épursol à Chénéville (site de compostage).</t>
  </si>
  <si>
    <t>Le volume de boues avec siccité de 2,4 % a été transposé en tonne en utilisant une densité de 1 tonne/m3. Le volume de boues avec siccité de 18 % a été transposé en tonnes en utilisant une densité de 0,8 tonne/m3.
Le site de disposition présumé est Épursol à Chénéville (site de compostage).</t>
  </si>
  <si>
    <t>3,9 % et 22 %</t>
  </si>
  <si>
    <t>Le volume de boues avec siccité de 3,9 % a été transposé en tonne en utilisant une densité de 1 tonne/m3. Le volume de boues avec siccité de 22 % a été transposé en tonnes en utilisant une densité de 0,8 tonne/m3.
Le site de disposition présumé est Épursol à Chénéville (site de compostage).</t>
  </si>
  <si>
    <t xml:space="preserve">Voici les sites pour la disposition de nos boues envoyées directement pour valorisation agricole:
P1	Site 2    690 rang 6 St-Sylvère
P2	site C91   114, chemin Béthel Durham sud 
P3	Site 4    Rang 4 Saint-Marcel-de-Richelieu
P4	champ 84  1063 route261 St-Valère
P5	Site 3   6 ieme rang L' Avenir 
P6	Site 8a    587 rang 8  St-Sylvère
P7	Site 113   43 route Boisvert Saint Norbert d'Arthabaska
P8	Site7     778 rang 2 L'Avenir
P9	Site 119  13, 7ieme rang de Saint Norbert Saint Norbert D'Arthabaska
P10	Site 4  73, 6ieme rang Saint-Rosaire
P11	Ferme Duvalait en face du2620 Grand Esprit Nicolet
P12	site 37 rg bord du l'eau Saint Pie de Guire 
P13	champ13-14-15 575-525 rg Thiersant Saint Aimé
P14	Ferme des Anges  1385 4ieme rg Simpson St-Cyrille Wendover
P15	Site 51 Rang Thersiant Saint Aimé
P16	site A04 109 rang de la riviere Saint Alban
P17	Site 103 161,9ieme rang St Norbert D'Arthabasca
P18	Site 79 Ferme G.C.K Martel  Route Letendre St-pie De Guire
P19	site 9 en face du 409 rag bord de l eau Saint Aimé
P20	Site 1-2 547 rg 11 Durham -sud
P21	Site 6 Route »Letendre Ste-Pie de Guire
P22	Site 4b 6375oul. Industriel  Bécancour
P23	Ferme Raymod site 18 59 route Dufresne Durham-Sud
P24	MA Chaput site 361  1645, 8ieme Rang Saint Valère
P25	Ma Chaput  Site 343 215 4ieme Rang Ouest Daveluyville
P26	Site 2 Rang 12 Durham-Sud
P27	Mario Toupin  Site 5  2871 Rang St Alexis St-Maurice
P28	Ferme Bellie Site 15 en face du 150 rang 10 Ste-Pie de Guire
P29	Ferme GCK Martel 550,13 ieme rang est Ste-Pie de Guire
P30	Francis Hébert Site B1
P31	 548, rang Haut de la Rivière St-Francois du Lac 
P32	Freme Bellie Site 25 en face du 120 rang 10 Ste-Pie de Guire 
P33	Cédric Hartmann  Site R4 43 Kirouac  Saint Christophe D'Arthabasca
P34	Michel Goyette Site B1  265 16 ieme Rang Ste-Marie de Blandford
P35	Ferme LV Site 4 436 Rg St-Jean Baptiste St-Francois du Lac
P36	Ferme GCK Martel Site 50 Route Letendre Ste-Pie de Guire 
P37	Yvon Pellerin Site 1 589,rang 11 Saint_Valère 
P38	CedricHartman Site R4  3024 route 161 St Valère
P39	Semican Site 243 en face du 82 rang Lainesse Victoriaville 
P40	Site 4 1047 rte 261 Daveluyville
P41	Site GA1 6339 Skiberine  Valcourt
P42	Site 43  en face du 79 route Boisvert St-Norbert D'Arthabasca
P43	Semican Site 243 en face du 82 rang Lainesse Victoriaville 
P44	SemicanSite 44 bout du rg  7 St Norbert d'Arthabasca
P45	GCK Martel Site 24 175 Bord de l'Eau Ste-Pie de Guire
P46	Hartman Cedric  Site 7 Rang 8 Saint- Valère
P47	Féderic Proulx Champ 1 102 rue Miquelon  St Camille
P48	Juneau et  Frere Site A15 160 rg de la Rivière Blanche St-Alban
P49	Juneau et  Frere Site A10 100rg St-Joseph est St-Alban
P50	Juneau et Frere Site A20 284 rg de la Rivière Blanche St-Alban
P51	Juneau et Frere Site A24 Rg des Grondines St-Alban
P52	Éric et Frères Site champ MD1 3ieme rang v Maricourt
P53	Ferme Prejean Site 10 1560,6e Wendover Saint-Cyrille
P54	Ferme Prejean Site 13 1500 6ieme rg Wendover nord St-Cyrille de Wendover
P55	Ferme Prejean Site 17 après le 1630 rang 6 St Cyrille de Wendover
P56	Ferme Prejean Site 15 16307ieme  rang de Wendover nord Saint Cyrille e Wendover 
P57	Ellenburger Erwin Site 1 550 6ieme rang Saint Cyrille de Wendover 
P58	Ellenburger Erwin Site 3en face du 500 rang  7 Saint Cyrille de Wendover 
P59	Ferme Libert Site 39 Rang Caroline St David
P60	Ferme Bona Site 21 70,Rg de Bord de l'eau Saint Bonaventure
P61	Ferme Milton Site F4 10e rang, Ouest St-Adrien
P62	Ferme Milton Site 112 chemin Fredette Wotton
P63	Ferme les Trois Site  56 15 </t>
  </si>
  <si>
    <t>Tonnage comptabilisé dans le mois d'août.</t>
  </si>
  <si>
    <t>Les quantités ont été considérées comme des rejets (déchets) et non des boues et n'ont pas été comptabilisées.</t>
  </si>
  <si>
    <t>Bien qu'une certaine proportion des boues puisse avoir été acheminée au compostage, elles ont été toutes été comptabilisées sous "Épandage agricole" en raison du manque de précision.</t>
  </si>
  <si>
    <t>Les données ont été comptabilisées en présumant que les volumes indiqués (m3) soient en réalité des tonnages.</t>
  </si>
  <si>
    <t>Aucune boue considérée comme étant disposée puisqu'elles ont été acheminées vers un système d'épuration par étang non aéré facultatif.</t>
  </si>
  <si>
    <t>2020-11-12    45 000 gallons soutirés ou 170.34 m3 de la fosse septique par pompage (vacuum)
Environ 90 % des boues ont été enlevées de la fosse se qui represente 58% du volume total de la fosse septique</t>
  </si>
  <si>
    <t>Les boues ont été considérées comme étant liquides ; une densité de 1 tonne/m3 a été utilisée pour transposer le volume en tonnage</t>
  </si>
  <si>
    <t xml:space="preserve">23,5 % (boues déshydratées)
92 % (boues séchées) </t>
  </si>
  <si>
    <t>À notre connaissance, la station produit des digestats.</t>
  </si>
  <si>
    <t>La quantité saisie correspond à la quantité en TMS déclarée par l'exploitant.</t>
  </si>
  <si>
    <t>Traitement des données par RECYC-QUÉBEC</t>
  </si>
  <si>
    <t xml:space="preserve"> </t>
  </si>
  <si>
    <t>Les données ont été comptabilisées en présumant que les volumes indiqués (m3) soient en réalité des tonnages. Un site de disposition semble avoir été déclaré en double ; le tonnage associé n'a été comptabilisé qu'une seule fois.</t>
  </si>
  <si>
    <t>Les tonnes de matières sèches (TMS) ont été ramenées à 20 % de siccité. Le conteneur de dégrillage a été considéré comme des déchets et non des boues.</t>
  </si>
  <si>
    <t>Cet ouvrage traite principalement des boues de la papetière Kruger située à Crabtree. Une proportion de 6 % de boues municipales (contre 94 % de boues de papetière) a été prise en compte dans l'estimation des tonnages.</t>
  </si>
  <si>
    <t>En raison du manque de précision, le tonnage a été réparti également entre "Épandage agricole" et "Restauration de site".</t>
  </si>
  <si>
    <t>Bien que le mode de disposition ne soit pas précisé, il a été présumé les boues produites pendant le mois ont été acheminées en milieu agricole, comme pour les mois de juillet à décembre.</t>
  </si>
  <si>
    <t>Aucune boue considérée puisque disposée à l'affluent.</t>
  </si>
  <si>
    <t>Bien que le mode de disposition ne soit pas précisé, les boues ont été considérées recyclées par Campor.</t>
  </si>
  <si>
    <t>Disposition de boues prise en compte sous "Ouvrage municipal d'assainissement des eaux usées de Rouyn-Noranda (Arntfield-A) ". Les boues ont été épandues en milieu agricole.</t>
  </si>
  <si>
    <t>En raison du manque de précision, les quantités saisies correspondent au volume déclaré par l'exploitant. Bien que le mode de disposition ne soit pas précisé, les boues ont été considérées recyclées par Campor.</t>
  </si>
  <si>
    <t>En raison du manque de précision, les quantités saisies correspondent aux quantités déclarées par l'exploitant. Bien que le mode de disposition des boues ne soit pas précisé, elles ont été considérées comme recyclées (comme ce fut le cas en 2019).</t>
  </si>
  <si>
    <t>En raison du manque de précision, les quantités saisies correspondent au volume déclaré par l'exploitant. Bien que le mode de disposition ne soit pas précisé, les boues ont été considérées comme recyclées par Campor.</t>
  </si>
  <si>
    <t>En raison du manque de précision, les quantités saisies correspondent au volume déclaré par l'exploitant. Bien que le mode de disposition ne soit pas précisé, les boues ont été considérées comme compostées à la RIGDSC.</t>
  </si>
  <si>
    <t>La quantité comptabilisée correspond à du digestat. Elle a été transposée en tonne en considérant une siccité avant déshydratation de 4 %, puis ramenée au % de matières sèches déclaré ainsi qu'une densité de 0,75 tonnes/m3.</t>
  </si>
  <si>
    <t>Les boues acheminées dans sur le lit de séchage (671 tonnes) n'ont pas été comptabilisées puisque leur disposition se fera ultérieurement.</t>
  </si>
  <si>
    <t>Les boues ont été considérées comme étant liquides ; une densité de 1 tonne/m3 a été utilisée pour transposer le volume en tonnage. Bien qu'il soit indiqué que les boues aient été acheminées à la Régie de Thetford Mines, le mode de disposition n'est pas connu.</t>
  </si>
  <si>
    <t>Les boues ont été considérées comme ayant une densité de 0,8 tonne/m3 pour transposer le volume en tonnage. Considérant le manque de précision, le tonnage a été réparti également entre "Épandage agricole" et "Compostage".</t>
  </si>
  <si>
    <t>Les boues ont été considérées comme relativement liquides ; une densité de 1 tonne/m3 a été utilisée pour transposer le volume en tonnage. Il a été présumé que les boues ont été recyclées par CTBM.</t>
  </si>
  <si>
    <t>Les boues ont été considérées comme ayant une densité de 0,8 tonne/m3 pour transposer le volume en tonnage. Il a été présumé que les boues ont été recyclées par Uteau (épandage agricole ou compostage).</t>
  </si>
  <si>
    <t>Les boues ont été considérées comme étant liquides ; une densité de 1 tonne/m3 a été utilisée pour transposer le volume en tonnage. Il a été présumé que les boues ont été compostées à la RIGDSC.</t>
  </si>
  <si>
    <t>Les boues soutirées ont été transposées en tonnes de matières sèches, puis ramenées à 20 % de siccité.</t>
  </si>
  <si>
    <t>Les quantités acheminées à WM ont été considérées comme des rejets (déchets) et non des boues et n'ont pas été comptabilisées.</t>
  </si>
  <si>
    <t>Les boues ont été considérées comme étant liquides ; une densité de 1 tonne/m3 a été utilisée pour transposer le volume en tonnage. Il a été présumé que les boues ont été compostées par Épursol à Chénéville.</t>
  </si>
  <si>
    <t>Une densité de 1 tonne/m3 a été utilisée pour transposer le volume en tonnage. Il a été présumé que les boues ont été compostées par Épursol à Chénéville.</t>
  </si>
  <si>
    <t>Bien que le mode de disposition ne soit pas précisé, les boues ont été considérées compostées par Uteau.</t>
  </si>
  <si>
    <t>Les cendres ont été considérées comme correspondant à 20 % des quantités de boues municipales acheminées à l'incinération.</t>
  </si>
  <si>
    <t>En raison du manque de précision, le tonnage a été réparti également sous "Épandage agricole" et "Restauration de sites".</t>
  </si>
  <si>
    <t xml:space="preserve">Pour plus d'information sur les boues et les PGMR, consultez la Fiche d’information pour la révision des plans de gestion des matières résiduelles (PGMR) sur les boues municipales dans la section : </t>
  </si>
  <si>
    <t>Boîte à outils pour les PGMR</t>
  </si>
  <si>
    <t>Colonne1</t>
  </si>
  <si>
    <t>Quantité (tonnes)
Biométhanisation</t>
  </si>
  <si>
    <t>Janvier</t>
  </si>
  <si>
    <t>Transport et disposition: Englobe, Les Composts du Québec inc._x000D_
Quantité: 129.13 t.m._x000D_
Siccité: 30.9%</t>
  </si>
  <si>
    <t>En raison d'information incomplète, les boues ont été réparties également entre "Épandage agricole" et "Compostage"</t>
  </si>
  <si>
    <t>Février</t>
  </si>
  <si>
    <t>Transport et Disposition: Englobe, Les Composts du Québec inc._x000D_
Siccité: 31.4%_x000D_
Quantité: 107.85 t.m.</t>
  </si>
  <si>
    <t>Mars</t>
  </si>
  <si>
    <t>Transport et disposition: Englobe, Les Composts du Québec inc._x000D_
Siccité: 30.2%_x000D_
Quantité: 141.6 T.M.</t>
  </si>
  <si>
    <t>Avril</t>
  </si>
  <si>
    <t>Transport et disposition: Englobe, Les Compostes du Québec inc._x000D_
Siccité: 27.9%_x000D_
Quantité: 130.60 t.m.</t>
  </si>
  <si>
    <t>Mai</t>
  </si>
  <si>
    <t>Transport et disposition : Engloble, Les Composts du Québec inc._x000D_
Siccité : 28.9%_x000D_
Quantité : 129.99t.m.</t>
  </si>
  <si>
    <t>Juin</t>
  </si>
  <si>
    <t>Transport et disposition: Englobe, Les Composts du Québec inc._x000D_
Quantité: 141.99 t.m._x000D_
Siccité: 30.6%</t>
  </si>
  <si>
    <t>Juillet</t>
  </si>
  <si>
    <t>Transport et disposition: Englobe, Les Composts du Québec inc._x000D_
Quantité: 142.64 t.m._x000D_
Siccité: 28.8%</t>
  </si>
  <si>
    <t>Août</t>
  </si>
  <si>
    <t>Transport et disposition: Englobe, Les Composts du Québec inc._x000D_
Siccité: 29.3%_x000D_
Quantité: 130.7 t.m.</t>
  </si>
  <si>
    <t>Transport et disposition: Englobe, Les Composts du Québec inc._x000D_
Siccité: 28.8 %_x000D_
Quantité: 135.57 t.m.</t>
  </si>
  <si>
    <t>Octobre</t>
  </si>
  <si>
    <t>Transport et disposition: Englobe, Les Composts du Québec inc._x000D_
Siccité: 28.3%_x000D_
Quantité: 137.06 t.m.</t>
  </si>
  <si>
    <t>Novembre</t>
  </si>
  <si>
    <t>Transport et disposition: Englobe, Les Composts du Québec inc._x000D_
Quantité: 138.33 t.m._x000D_
Siccité: 27.5%</t>
  </si>
  <si>
    <t>Décembre</t>
  </si>
  <si>
    <t>Transports et dispositions : Englobe, Les Composts du Québec inc._x000D_
Siccité: 27.6%_x000D_
Quantité: 139.38 t.m.</t>
  </si>
  <si>
    <t>Déshydratation des boues par pressoir rotatif dont la siccité moyenne est de 24% Transport par camion vers le champs (valorisation) 314.86 T.M</t>
  </si>
  <si>
    <t>Déshydratation des boues par pressoir rotatif dont la siccité moyenne est de 24% Transport par camion vers le champs (valorisation) 175.38 T.M</t>
  </si>
  <si>
    <t>Déshydratation des boues par pressoir rotatif dont la siccité moyenne est de 24% Transport par camion vers le champs (valorisation) 233.29 T.M et boues séchées à 92%  24.16 T.M.</t>
  </si>
  <si>
    <t>24 % (boues déshydratées)
92 % (boues séchées)</t>
  </si>
  <si>
    <t>Déshydratation des boues par pressoir rotatif dont la siccité moyenne est de 23.5% Transport par camion vers le champs (valorisation) 278.15 T.M</t>
  </si>
  <si>
    <t>Déshydratation des boues par pressoir rotatif dont la siccité moyenne est de 22.7% Transport par camion vers le champs (valorisation) 370.75T.M et boues séchées à 92% 23.32 T.M.</t>
  </si>
  <si>
    <t>22,7 %  (boues déshydratées)
92 % (boues séchées)</t>
  </si>
  <si>
    <t>Déshydratation des boues par pressoir rotatif dont la siccité moyenne est de 22.7% Transport par camion vers le champs (valorisation)289.07 T.M et boues séchées à 92%  30.31 T.M. Transport par camion vers le champs (valorisation).</t>
  </si>
  <si>
    <t xml:space="preserve">Déshydratation des boues par pressoir rotatif dont la siccité moyenne est de 23% Transport par camion vers le champs (valorisation) 441.39 T.M </t>
  </si>
  <si>
    <t>Déshydratation des boues par pressoir rotatif dont la siccité moyenne est de 24% Transport par camion vers le champs (valorisation) 270.54 T.M et boues séchées à 92%  26.08 T.M. Transport par camion vers le champs (valorisation).</t>
  </si>
  <si>
    <t>Déshydratation des boues par pressoir rotatif dont la siccité moyenne est de 24% Transport par camion vers le champs (valorisation) 66.69 T.M et boues séchées à 92% 121.71 T.M. Transport par camion vers le champs (valorisation).</t>
  </si>
  <si>
    <t>Déshydratation des boues par pressoir rotatif dont la siccité moyenne est de 23% Transport par camion vers le champs (valorisation) 40.18 T.M et boues séchées à 92% 127.21 T.M. Transport par camion vers le champs (valorisation).</t>
  </si>
  <si>
    <t>23 %  (boues déshydratées)
92 % (boues séchées)</t>
  </si>
  <si>
    <t>Déshydratation des boues par pressoir rotatif dont la siccité moyenne est de 23% Transport par camion vers le champs (valorisation) 65.27 T.M et boues séchées à 92% 98 T.M. Transport par camion vers le champs (valorisation).</t>
  </si>
  <si>
    <t>Déshydratation des boues par pressoir rotatif dont la siccité moyenne est de 23% Transport par camion vers le champs (valorisation) 188.32 T.M et boues séchées à 92% 41.08 T.M. Transport par camion vers le champs (valorisation).</t>
  </si>
  <si>
    <t>Pour le mois de Janvier nous avons disposée de la boue environ 5 jours par semaine. La siccité moyenne de la boue à été de 17%_x000D_
Nous avons disposée un total de boue de 1941.53 tonnes et le tout en revalorisation agricole.</t>
  </si>
  <si>
    <t xml:space="preserve">Pour le mois de février, nous avons disposée la boue en moyenne 5 fois par semaines._x000D_
La siccité moyenne à été de 16.6% et nous avons disposé un total de 1756.22 Tonnes de boue en revalorisation agricole._x000D_
</t>
  </si>
  <si>
    <t>Pour le mois de mars, nous avons disposée de la boue en moyenne 5 fois par semaine. La siccité moyenne est de 17.5%._x000D_
Nous avons disposée 1579.7 Tonnes de boue en revalorisation agricole et 71.12 Tonnes sur un site minier. Pour un total de 1650.82 Tonnes de boue.</t>
  </si>
  <si>
    <t>Pour le mois de Mai, nous avons disposée de la boue environ 5 fois semaine. La siccité moyenne de la boue est de 17.5%_x000D_
Nous avons disposée 46 Tonnes sur un site minier et 1818 Tonnes en revalorisation agricole. Pour un totale de 1864 tonnes de boues.</t>
  </si>
  <si>
    <t>Pour le mois de Mai, nous avons disposée de la boue 5 fois par semaine. La siccité moyenne est de 18.3%_x000D_
Nous avons disposé un total de 2013.92 Tonnes de boue et le tout en revalorisation agricole.</t>
  </si>
  <si>
    <t>Pour le mois de Juin, nous avons disposé de la boue 5 fois semaine. Nous avons eu une siccité moyenne de 19.9%_x000D_
Nous avons disposé un total de 1855.68 Tonnes de boue et le tout en revalorisation agricole.</t>
  </si>
  <si>
    <t>Pour le mois de Juillet, nous avons disposé de la boue 5 fois semaines. Nous avons eu une siccité moyenne de19.4%_x000D_
Nous avons disposé un total de 1531.10 tonnes de boue et le tout en revalorisation agricole.</t>
  </si>
  <si>
    <t>Pour le mois d'Août, nous avons disposé de la boue 5 fois par semaines. La siccité moyenne a été de 19.8%_x000D_
Nous avons disposé un total de 1644.58 Tonnes de boue et le tout en revalorisation agricole.</t>
  </si>
  <si>
    <t>Pour le mois de Septembre, nous avons disposée de la boue 5 fois par semaine. La siccité moyenne de la boue à été de 18.5%._x000D_
Nous avons disposée un total de 1524.26 Tonne de boue en revalorisation agricole.</t>
  </si>
  <si>
    <t>Pour le mois d'octobre, nous avons disposée de la boue 5 fois par semaine. La siccité moyenne de la boue est de 18%._x000D_
Nous avons disposée un total de boue de 1659.62 Tonnes et le tout en revalorisation agricole.</t>
  </si>
  <si>
    <t>Pour le mois de Novembre, nous avons disposée de la boue 5 fois par semaine. La siccité moyenne de la boue a été de 17.6%._x000D_
Nous avons disposée 1309.48 tonnes en revalorisation agricole et 478.17 Tonnes en recouvrement minier. Pour un total de 1787.65 Tonnes de boue.</t>
  </si>
  <si>
    <t>Pour le mois de Décembre, nous avons disposée de la boue cinq fois par semaine en moyenne._x000D_
La siccité moyenne était de 17.6%. Nous avons envoyée 1398.21 Tonnes de boue en revalorisation agricole et 142.2 Tonne sur un site minier (Black Lake)._x000D_
Pour un total de 1540.41 Tonne de boues disposée.</t>
  </si>
  <si>
    <t>vidange des boues dans l'étang no4  débutant le 7 juillet au 21 juillet 2021 par soutirage sur barge et déshydratation par centrifugeuse avec polymère
siccité moyenne de 23%  quantité des boues soutirée en juillet 1848,540 m3</t>
  </si>
  <si>
    <t>Les camions ont amener les boues déshydraté en valorisation agricole. Le contrat est sous la charge de clean harbour. vidange des boues dans l'étang no4  débutant le 7 juillet au 21 juillet 2021 par soutirage sur barge et déshydratation par centrifugeuse avec polymère_x000D_
siccité moyenne de 23%  quantité des boues soutirée en juillet 1848,540 m3</t>
  </si>
  <si>
    <t>Les boues soutirées ont été considérées à 4 % de matières sèches, puis ramenées au pourcentage de siccité déclaré.</t>
  </si>
  <si>
    <t xml:space="preserve">Méthode utilisée : Collecte des boues par dragage et séchage mécanique des boues par centrifugeuse électrique_x000D_
_x000D_
Étang 3 : _x000D_
	du 1er au 14 août :_x000D_
	2 220 m.cu.  retirés et disposés en champs agricole dans la région_x000D_
	Siccité moyenne 23,55%_x000D_
_x000D_
_x000D_
Étang 2 : _x000D_
	du 15 au 31 août  _x000D_
	2 080 m.cu.  retirés et disposés en champs agricole dans la région_x000D_
	Siccité moyenne 23,49%_x000D_
Méthode :                                                         Collecte des boues par dragage et séchage mécanique des boues par centrifugeuse électrique_x000D_
</t>
  </si>
  <si>
    <t>Étang 3 : _x000D_
	du 1er au 14 août :_x000D_
	2 220 m.cu.  retirés et disposés en champs agricole dans la région_x000D_
	Siccité moyenne 23,55%_x000D_
_x000D_
_x000D_
Étang 2 : _x000D_
	du 15 au 31 août  _x000D_
	2 080 m.cu.  retirés et disposés en champs agricole dans la région_x000D_
	Siccité moyenne 23,49%_x000D_
Méthode :                                                         Collecte des boues par dragage et séchage mécanique des boues par centrifugeuse électrique</t>
  </si>
  <si>
    <t xml:space="preserve">Étang 2 : méthode dragage_x000D_
	du 1er au 24 septembre_x000D_
	4 000 m.cu.  retirés et disposés en champs agricole dans la région_x000D_
	Siccité moyenne 23,49%_x000D_
_x000D_
</t>
  </si>
  <si>
    <t>Vidange de boues dans l'étang #3  du 26 septembre au 30 septembre par centrifugation, siccité moyenne des boues de 22.6 %, quantité  soutirée de 139.64 m3.</t>
  </si>
  <si>
    <t>Un total de 139.64 m3 en provenant de l'étang #3 a été déposé entre le 26 et 30 septembre 2021. Valorisation en champs agricoles (épandage): Ferme Lalande 511 route du rang Sault, Saint-André-d'Argenteuil, J0V 1X0, 94,35 m3 coordonnées GPS: 45.5360834,-74.2868716 et 32.8 m3 coordonnées GPS: 45.5354120,-74.2933511. Ferme Michel Godfrind 1121 Bas L'Assomption Nord, L'Assomption J5W 2H5, 12.49 m3 coordonnées GPS: 45.8068200,-73.4487688.</t>
  </si>
  <si>
    <t xml:space="preserve">Les données ont été comptabilisées en présumant que les volumes indiqués (m3) soient en réalité des tonnes de matières sèches (TMS). Les TMS ont été ramenées à 22,6 % de siccité. </t>
  </si>
  <si>
    <t>Vidange de boues dans l'étang #3 du 1 au 31 octobre par centrifugation. Siccité moyenne des boues déshydratées de 22.6 %. Quantité soutirée de 731.86 TMS, ce qui représente un volume approximatif de boue de 18 300m³ en considérant une siccité de 4%.</t>
  </si>
  <si>
    <t xml:space="preserve">Un total de 731.86 TMS en provenant de l'étang #3 a été déposé entre le 1 octobre et 31 octobre 2021. Valorisation en champs agricoles (épandage): Ferme Lalande : 511 route du rang Sault, Saint-André-d'Argenteuil, J0V 1X0, 87,24 TMS coordonnées GPS: 45.5360834, -74.2868716 et 6,77 TMS coordonnées GPS: 45.5354120, -74.2933511 et Secteur St-Placide : 50,17 TMS coordonnées GPS : 45.5324558. -74.2963190. Ferme Michel Godfrind : 1121 Bas L'Assomption Nord, L'Assomption J5W 2H5, 52,84 TMS coordonnées GPS: 45.8068200, -73.4487688 et 26,32 TMS coordonnées GPS: 45.8030402, -73.4436069. Ferme CJ Chaput inc : 3074, Picardi Varenne J3X 1P7 83,38 TMS coordonnées GPS: 45.687246, -73.393221. Ferme Laframboise SENC : 10900. Côtes des Anges Mirabel J7N 2W2, 91,46 TMS coordonnées GPS: 45.649666, -74.062497. Ferme Lapointe : 20881, rue St-Charles, Mirabel J7J 1P1, 88,87 TMS coordonnées GPS: 45.731898, -73.893256 et 6,88 TMS coordonnées GPS: 45.7284098, -73.8676413. Ferme Vertefeuille 2000 inc : 344, rang de la rivière SO, Maskinongé, J0K 1N0, 114,22 TMS coordonnées GPS: 46.1977732, -73.0591112. Ferme De Tonnancour : 113, rue St-Michel, Yamaska, J0G 1X0, 110,57 TMS coordonnées GPS: 46.030713, -72.906866. Ferme Lépine : 27 Rang Lepage, Mirabel, J0N 1H0, 13,14 TMS coordonnées GPS: 45.7475770, -73.9014630._x000D_
</t>
  </si>
  <si>
    <t xml:space="preserve">Les tonnes de matières sèches (TMS) ont été ramenées à 22,6 % de siccité. </t>
  </si>
  <si>
    <t>Vidange de boues dans l'étang #3 du 1 au 27 novembre par centrifugation. Quantité soutirée de 419 TMS, ce qui représente un volume approximatif de boue de  10 475 m3 en considérant une siccité de 4 %._x000D_
_x000D_
Vidange de boues dans l'étang #2 du 27 au 30 novembre par centrifugation. Quantité soutirée de 117 TMS, ce qui représente un volume approximatif de boue de  2 925 m3 en considérant une siccité de 4 %.</t>
  </si>
  <si>
    <t>Un total de 588 TMS provenant des étangs #2 et 3 a été déposé entre le 1 et 30 novembre 2021. Valorisation en champs agricoles (épandage): Ferme Laframboise SENC : 10900. Côtes des Anges Mirabel J7N 2W2, 271,68 TMS coordonnées GPS: 45.649666, -74.062497. Ferme De Tonnancour : 113, rue St-Michel, Yamaska, J0G 1X0, 38,12 TMS coordonnées GPS: 46.030713, -72.906866. Ferme Lépine : 27 Rang Lepage, Mirabel, J0N 1H0, 127,86 TMS coordonnées GPS: 45.7475770, -73.9014630. . Ferme Lapointe : 20881, rue St-Charles, Mirabel J7J 1P1, 13,79 TMS coordonnées GPS: 45.7284098, -73.8676413.  Ferme Lemage inc: 3415, chemin de la Butte-aux-Renards, Varenne, J3X 0G8.51,86 TMS coordonnées GPS: 46.1041435, -72.0983557 et Ferme Leroux:  84,73 TMS coordonnées GPS: 45.7366541,-73.6864447</t>
  </si>
  <si>
    <t xml:space="preserve">Les tonnes de matières sèches (TMS) ont été ramenées à 22,6 % de siccité (valeur des mois prédédents). </t>
  </si>
  <si>
    <t>Vidange de boues dans l'étang #2 du 1 au 4 décembre par centrifugation. Siccité moyenne des boues déshydratées de 25.47%. Quantité soutirée de 113 TMS, ce qui représente un volume approximatif de boue de  2825 m3 en considérant une siccité de 4 %.</t>
  </si>
  <si>
    <t xml:space="preserve">Un total de 113 TMS en provenance de l'étang #2 a été déposé entre le 1 et le 4 décembre 2021. Valorisation en champs agricoles (épandage) ferme Lemage 113 TMS, 3415, chemin de la Butte-aux-Renards, Varennes, J3X 0G8, coordonnées GPS: 46.1041435, -72.0983557 </t>
  </si>
  <si>
    <t xml:space="preserve">Les tonnes de matières sèches (TMS) ont été ramenées à 25,47 % de siccité. </t>
  </si>
  <si>
    <t>OMAEU de la Régie d'assainissement des eaux usées de Chatham/Lachute</t>
  </si>
  <si>
    <t>Lachute</t>
  </si>
  <si>
    <t>Argenteuil</t>
  </si>
  <si>
    <t>Vidange de la cellule 1A du 11-11-2021 au 18-11-2021, 2034 TMH, système de centrifugeuse, 25% de siccité moyenne des boues soutirées (VALORISATION AGRICOLE)_x000D_
Vidange de la cellule 1B du 19-11-2021 au 30-11-2021, 3411 TMH, système de centrifugeuse, 20% de siccité moyenne des boues soutirées (VALORISATION AGRICOLE)</t>
  </si>
  <si>
    <t xml:space="preserve">Vidange de la cellule 1A du 11-11-2021 au 18-11-2021, 2034 TMH, système de centrifugeuse, 25% de siccité moyenne des boues soutirées, lieu de disposition des boues (Plateforme, Concession Road 5, Saint-Eugène, ON) _x000D_
Vidange de la cellule 1B du 19-11-2021 au 30-11-2021, 3411 TMH, système de centrifugeuse, 20% de siccité moyenne des boues soutirées , lieu de disposition des boues (Plateforme, Concession Road 6, Saint-Eugène, ON) + (Plateforme, Concession Road 5, Saint-Eugène, ON) </t>
  </si>
  <si>
    <t xml:space="preserve">Vidange de la cellule 1B du 01-12-2021 au 02-12-2021, 181 TMH, système de centrifugeuse, 22% de siccité moyenne des boues soutirées, lieu de disposition des boues Valorisation agricole, Vidange de la cellule 2A du 02-12-2021 au 06-12-2021, 853 TMH, système de centrifugeuse, 21% de siccité moyenne des boues soutirées , lieu de disposition des boues Valorisation agricole, Vidange de la cellule 2A du 01-12-2021 au 11-12-2021, 11103 m3, géosac, 2.3% de siccité moyenne des boues soutirées._x000D_
</t>
  </si>
  <si>
    <t xml:space="preserve">Vidange de la cellule 1B du 01-12-2021 au 02-12-2021, 181 TMH, système de centrifugeuse, 22% de siccité moyenne des boues soutirées, lieu de disposition des boues (Plateforme, Concession Road 6, Saint-Eugène, ON et Simon Vincent, Verchères) Vidange de la cellule 2A du 02-12-2021 au 06-12-2021, 853 TMH, système de centrifugeuse, 21% de siccité moyenne des boues soutirées , lieu de disposition des boues (Plateforme, Concession Road 5, Saint-Eugène, ON Simon Vincent, Verchères), Vidange de la cellule 2A du 01-12-2021 au 11-12-2021, 11103 m3, géosac, 2.3% de siccité moyenne des boues soutirées , lieu de disposition des boues à venir (après un cycle gel-dégel)._x000D_
</t>
  </si>
  <si>
    <t>Les boues accumulées dans le géotube ne sont pas comptabilisées puisqu'elles seront disposées ultérieurement.</t>
  </si>
  <si>
    <t>Du 20 au 30 septembre: _x000D_
20 au 23 septembre: étang 1, centrifugeuse, 33%, 273 TMS_x000D_
24 au 30 septembre: étang 2, centrifugeuse, 20.83%, 257 TMS</t>
  </si>
  <si>
    <t>Du 20 au 30 septembre: _x000D_
20 au 23 septembre: étang 1, centrifugeuse, 33%, 273 TMS_x000D_
24 au 30 septembre: étang 2, centrifugeuse, 20.83%, 257 TMS_x000D_
_x000D_
Valorisation Agricole</t>
  </si>
  <si>
    <t xml:space="preserve">20.81: étangs 2 et 3_x000D_
étang 2:  1 au 13 oct, 660 TMS_x000D_
étang 3: 14 au 31 oct, 1631 TMS_x000D_
Valorisation agricole_x000D_
Déshydratation </t>
  </si>
  <si>
    <t xml:space="preserve">Etangs 3: 617 TMS, déshydratation, du 1er-11 au 07-11_x000D_
Etangs 4: 500 TMS, déshydratation, du 8 au 13-11_x000D_
</t>
  </si>
  <si>
    <t>Agricole, Etangs 3: 617 TMS, déshydratation, du 1er-11 au 07-11_x000D_
Etangs 4: 500 TMS, déshydratation, du 8 au 13-11</t>
  </si>
  <si>
    <t xml:space="preserve">Disposition des boues par enfouissement au site d'enviro connexions situé au 3779 chemin des 40-Arpents Terrebonne j6v9t6, boues évacuées 1388m3 , siccité moyenne de 21,16%, boues digérées par 2 digesteurs anaérobies du 1er au 31 janvier 2021 , boues épaissies par centrifugation. </t>
  </si>
  <si>
    <t>La quantité comptabilisée correspond à du digestat.
Elle a été transposée en tonne en considérant une siccité avant déshydratation de 4 %, puis ramené au % de matières sèches déclaré ainsi qu'une densité de 0,75 tonnes/m3.</t>
  </si>
  <si>
    <t xml:space="preserve">disposition des boues par enfouissement au site d'environ connexion situé au 3779 chemin des 40-arpents Terrebonne , 1537 m3 de boues évacuées, siccité moyenne de 20.84% , boues digérées par 2 digesteurs anaérobiques du 1er au 28 février 2021 , boues épaissies par centrifugation. </t>
  </si>
  <si>
    <t>Disposition des boues par enfouissement au site d'enviro connexions au 3779 chemin des 40 arpents Terrebonne , 1602 m3 de boue , siccité moyenne de 22.88% , boues digérées par 2 digesteurs anaérobiques du 1er au 31 mars 2021 , boues épaissies par centrifugation.</t>
  </si>
  <si>
    <t>Disposition pas enfouissement au site d'enviro connexions au 3779 chemin des 40-arpents Terrebonne , 1702 m3 de boues évacuées avec une siccité moyenne de 23.21% , boues digérées par 2 digesteurs anaérobies du 1er au 30 avril , boues épaissies par centrifugation .</t>
  </si>
  <si>
    <t xml:space="preserve">Disposition par enfouissement au site d'enviro connexions au 3779 chemin des 40 arpents Terrebonne , 1726 m3 de boues évacuées siccité moyenne de 23.78% , boues digérées par 2 digesteurs anaérobies du 1er au 31 mai 2021 , boues épaissies par centrifugation.  </t>
  </si>
  <si>
    <t xml:space="preserve">Disposition des boues pas enfouissement au site d'enviro connexion a Terrebonne , 1396m3 de boues evacuées , siccité moyenne de 24%, par 2 digesteurs anaérobies du 1er au 30 juin 2021 , boues épaissies par centrifugations.  </t>
  </si>
  <si>
    <t xml:space="preserve">Disposition des boues par enfouissement au site d'enviro connexion a Terrebonne, 1653 m3 de boue évacuées avec une siccité moyenne de 22.86%, boues digérées par 2 digesteurs anaérobie du 1er au 31 juillet 2021, boue épaissie par centrifugation. </t>
  </si>
  <si>
    <t xml:space="preserve">disposition par enfouissement au site d'enviro connexion a Terrebonne , 1914 m3 de boue évacuée , siccité moyenne de 23% , boue digérée par 2 digesteurs anaérobies du 1er au 31 aout, boues épaissie pas centrifugation._x000D_
</t>
  </si>
  <si>
    <t>Disposition des boues par enfouissement au site d'enviro connexion a Terrebonne , 1603 m3 de boue evacuée , siccité moyenne de 23.05% , 2 digesteurs anaérobiques du 1er au 30 septembre 2021 , boues épaissies par centrifugation.</t>
  </si>
  <si>
    <t>Disposition par enfouissement au site d'enviro connexion a Terrebonne, 1459 m3 de boues évacuées, siccité moyenne 23% , boues digérées par 2 digesteurs anaérobiques du 1er au 31 octobre 2021 , boues épaissies par centrifugation.</t>
  </si>
  <si>
    <t>Disposition au site d'enviro connexion a Terrebonne par enfouissement , 2110 m3 de boues evacuées , siccité moyenne de 22.3% , boues digérées par 2 digesteurs anaérobiques du 1er au 30 novembre 2021 , boues épaissies par centrifugation.</t>
  </si>
  <si>
    <t>Disposition des boues par enfouissement au site d'enviro connexion a Terrebonne , 2442 m3 de boues évacuées avec une siccité moyenne de 21.4%, Boues digérées par 2 digesteurs anaérobies du 1er au 31 décembre, boues épaissies par centrifugation .</t>
  </si>
  <si>
    <t>OMAEU de Mont-Tremblant (station Mont-Tremblant)</t>
  </si>
  <si>
    <t>La firme Revolution Environmental Solution LP (Terrapure) ont pompé de l'étang 3 (étang final) du 9 au 29 septembre. Les boues ont été déshydratées par centrifugeuse et valorisées à la ferme Lalande de Saint-André-d 'Argenteuil. Total des boues déshydratées est de 652,5 TM à 18,7% de siccité moyenne, soit 122,35 TMS.</t>
  </si>
  <si>
    <t>374.7 tonnes métriques de boue à 19% de siccité. Valorisation des boues par Viridis environnement. (Mine de Black Lake, ferme Royal Holstein St-Martin et Dany Rodrigue Adstock).</t>
  </si>
  <si>
    <t>104.5 tonnes métriques de boue à 20,1% de siccité. Valorisation des boues par Viridis environnement. Envoyé chez (Dany Rodrigue Adstock et Mine de Black Lake)</t>
  </si>
  <si>
    <t>350.5 tonnes métriques de boue à 20,5% de siccité. Valorisation des boues par Viridis environnement. Envoyé chez (Dany Rodrigue Adstock, Mine de Black Lake et champ Jérôme Gingras Saint-Zacharie)</t>
  </si>
  <si>
    <t>334.7 tonnes métriques de boue à 20,7% de siccité. Valorisation des boues par Viridis environnement. Envoyé chez (Champ Jérôme Gingras Saint-Zacharie, Ferme Jacklene Lac-Etchemin, Champ Luc Lachance St-Gédéon et Ferme Robert Roy et fils Ste-Cecile.)</t>
  </si>
  <si>
    <t>339.3 tonnes métriques de boue à 19% de siccité. Valorisation des boues par Viridis environnement. Envoyé chez (Champ Ferme Robert Roy et fils de Ste-Cecile, Ferme Jacklene Lac-Etchemin, Champ Luc Lachance St-Gédéon, Ferme Alain Pepin St-Robert et Mine de Black Lake.)</t>
  </si>
  <si>
    <t>307.2 tonnes métriques de boue à 18.2% de siccité. Valorisation des boues par Viridis environnement. Envoyé chez (Ferme G.R.Y. INC. à Pontbriand, Ferme Jacklene Lac-Etchemin, Ferme de la vallée à Inverness et Mine de Black Lake.)</t>
  </si>
  <si>
    <t>414.8 tonnes métriques de boue à 18.3% de siccité. Valorisation des boues par Viridis environnement. Envoyé chez (Ferme de la vallée à Inverness, Fosse JS Nadeau à Sacré-coeur-de-jésus, Yvon Cimon à Adstock et Mine de Black Lake.)</t>
  </si>
  <si>
    <t>368.8 tonnes métriques de boue à 18.5% de siccité. Valorisation des boues par Viridis environnement. Envoyé chez (Travaux AGR Alain Pepin St-Ludger, Ferme Alain Pepin St-Robert, Yvon Cimon à Adstock, Ferme Jacklene Lac-Etchemins,Fosse Annaud St-Pierre-Baptiste, Ferme Beaudoin et fils St-Théophile, Les Elevages LD LTEE St-Benoit Labre et Mine de Black Lake.)</t>
  </si>
  <si>
    <t>287.9 tonnes métriques de boue à 18.6% de siccité. Valorisation des boues par Viridis environnement. Envoyé chez (Ferme Jacklene Lac-Etchemins,Fosse Annaud St-Pierre-Baptiste, Ferme Beaudoin et fils St-Théophile, Les Elevages LD LTEE St-Benoit Labre et Gil-Ma-Re Notre-Dame-Des-Pins)</t>
  </si>
  <si>
    <t>287.8 tonnes métriques de boue à 17.9% de siccité. Valorisation des boues par Viridis environnement. Envoyé chez (Ferme Israel Beaudoin St-Théophile, Ferme Luc Lachance St-Gédéon, Ferme Jacklene Lac-Etchemin, Fosse JS Nadeau Sacré-cur-de-jésus et Fosse TroyBlay Inverness )</t>
  </si>
  <si>
    <t>320.8 tonnes métriques de boue à 17.6% de siccité. Valorisation des boues par Viridis environnement. Envoyé chez (St-Adrien d'irlande, Fosse Annaud St-Pierre-Baptiste, Mine de Black-Lake et Fosse TroyBlay Inverness )</t>
  </si>
  <si>
    <t>344.6 tonnes métriques de boue à 19% de siccité. Valorisation des boues par Viridis environnement. Envoyé chez (Mine de Black-Lake, Fosse JS Nadeau Sacré-cur-de-jésus, Élevage LD St-Martin, Luc Lachance St-Gédéon et Ferme Jacklene Lac-Etchemin.)</t>
  </si>
  <si>
    <t>320 litres de rebut site enfouissement</t>
  </si>
  <si>
    <t>320 litres de rebuts. Site enfouissement</t>
  </si>
  <si>
    <t>320 litres de rebut</t>
  </si>
  <si>
    <t>320 litres de rebuts site enfouissement</t>
  </si>
  <si>
    <t xml:space="preserve">320 litres de rebus </t>
  </si>
  <si>
    <t>Nous avons pompé 15775 m³ de boues ayant une siccité moyenne de 2,0% dans l'étang 3 durant la période du 3 au 16 septembre.</t>
  </si>
  <si>
    <t>Nous avons épandue au champs pour fin de valorisation agricole l'ensemble du volume pompé</t>
  </si>
  <si>
    <t>Ouvrage municipal d'assainissement des eaux usées d'Amqui</t>
  </si>
  <si>
    <t>Amqui</t>
  </si>
  <si>
    <t>Vidange des boue dans le cadre du projet à venir de mise à niveau des étangs</t>
  </si>
  <si>
    <t>Valorisation agricole d'une partie des boues extraites  et laissée dans les géobags</t>
  </si>
  <si>
    <t>Bien qu'une certaine quantité de boues ait été valorisée en milieu agricole, aucun tonnage n'a pu être comptabilisé en raison du manque de précision.</t>
  </si>
  <si>
    <t>448.43 tms dans le cadre du projet de mise à niveau des étangs</t>
  </si>
  <si>
    <t>3 géobags de la vidange des boues 2018 ont été valorisé en milieu agricole cet été</t>
  </si>
  <si>
    <t>Le 11 Juin 2021. Disposition des boues stocké sur le site de la station épuration, fait par camion benne. les boues sont envoyé sur une terre agricole au 2054 route 235 a Farnham sur les lots 4448024 et 4448006. La siccité moyenne est de 19.43 %. et la quantité est de 49.79 tms.</t>
  </si>
  <si>
    <t>du 12 au 20 Juillet 2021 , le vidange des boues du bassin et #1 et #2 fait par draguage et la boue stockée sur place dans 2 sacs géo._x000D_
La quantité total est de 74.11 m3. _x000D_
3.40 % de siccité dans bassin #1 et de 2.96 % dans bassin #2</t>
  </si>
  <si>
    <t xml:space="preserve">5 m3 de boue ,ramassé par le  contracteur ( Lauzon équipements) </t>
  </si>
  <si>
    <t xml:space="preserve">Ouvrage municipal d'assainissement des eaux usées d'Armagh </t>
  </si>
  <si>
    <t>Armagh</t>
  </si>
  <si>
    <t>Disposition vers site de valorisation. Lieu de disposition: SANCOVAC, 1790 rue Provinciale, Québec, P.Q., G1N 4A2. 122.84 m³ évacués. Siccité moyenne de 5.5%. Bassin de récupération des boues. Début de vidange: 25 janvier 2022. Fin de vidange: 27 janvier 2022. Vidange par camion vacuum.</t>
  </si>
  <si>
    <t>Nous avons revalorisé 101.2 Tonnes de boues à la mine Jeffrey ayant une siccité moyenne de 18.53 %</t>
  </si>
  <si>
    <t>Nous avons revaloriser 110.4 tonnes de boues ayant une siccité moyenne de 18.6% à la mine Jeffrey.</t>
  </si>
  <si>
    <t>Nous avons revalorisé 138.0 Tonnes de boues à la mine Jeffrey ayant une siccité moyenne de 19.88%</t>
  </si>
  <si>
    <t>Nous avons revalorisé 110.4 Tonnes de boues avec une siccité moyenne de 21.95%  à la mine Jeffrey</t>
  </si>
  <si>
    <t>Nous avons revaloriser 209.6 Tonnes de boues à la mine Jeffrey avec une siccité moyenne de 22.19%.</t>
  </si>
  <si>
    <t xml:space="preserve">Nous avons revalorisé 202.4 Tonnes de boues ayant une une siccité moyenne de 23.12% a la mine Jeffrey. </t>
  </si>
  <si>
    <t xml:space="preserve">Nous avons revalorisé 210.6 Tonnes de boues ayant une siccité moyenne de 25.65 % à la mine Jeffrey. </t>
  </si>
  <si>
    <t>Nous avons revalorisée 174.8 Tonnes de boues ayant une siccité moyenne de 25,95% à la mine Jeffrey.</t>
  </si>
  <si>
    <t>Nous avons revalorisé 156.4 Tonnes de boues ayant une siccité moyenne de 23.1% à la mine Jeffrey.</t>
  </si>
  <si>
    <t>Nous avons revalorisé 150.4 tonnes de boues ayant une siccité moyenne de 27.05 % à la mine Jeffrey.</t>
  </si>
  <si>
    <t>Nous avons revalorisé 148.1 Tonnes de boues ayant une siccité moyenne de 18.87% à la mine Jeffrey.</t>
  </si>
  <si>
    <t>Nous avons revalorisé 110.4 Tonnes de boues ayant une siccité moyenne de 19.76 %</t>
  </si>
  <si>
    <t>Ouvrage municipal d'assainissement des eaux usées d'Ascot Corner (BD)</t>
  </si>
  <si>
    <t>Ascot Corner</t>
  </si>
  <si>
    <t>camion vacuum, envoie aux étangs aéré d ascot (transporteur nous avises pendant les travaux qu'il ne peux traiter nos boues )quantité :113 M3_x000D_
vidange complet des biodisque et de la fosses a boues_x000D_
effectué le 26 Mai 2021</t>
  </si>
  <si>
    <t>Filtre a Bande_x000D_
Barnston_x000D_
21 Jan 6tm 18.2%</t>
  </si>
  <si>
    <t>10 Fev 6tm 18.5%_x000D_
18 Fev 5.7tm 20.3%_x000D_
Barnston_x000D_
Filtre a bande</t>
  </si>
  <si>
    <t>Filter bande_x000D_
Barnston_x000D_
2 mars 6tm 18.6%_x000D_
11 mars 6.1tm 19%_x000D_
17 mars 5.8tm 17.8%_x000D_
25 mars 5.66tm 18.6%_x000D_
29 mars 5.76tm 17.7%</t>
  </si>
  <si>
    <t xml:space="preserve">Filtre a Bande
Barnston
1 Avril 5.8tm 17.2%
19 Avril 5.9tm 16.9%
20 Avril 5.9tm 16%
22 Avril 6.01tm 17.3%
29 Avril 5.87tm 18%
</t>
  </si>
  <si>
    <t>Filtre a Bande
A Barnston
5 Mai 5.9tm 15.8%
10 Mai 6tm 15.8%
12 Mai 6.1tm 16.62%
17 Mai 6tm 15.5%
20 Mai 5.69tm 16%
26 Mai 5tm 17.4%</t>
  </si>
  <si>
    <t>Filtre a Bande 
Barnston
6 Julliet 5.78tm 15.8%
10 Juillet 5.61tm 16.1%
17 Juillet 5.64tm 16%
29 Juillet 5.77tm 15.77%</t>
  </si>
  <si>
    <t>Barnston
Filtre a Bande
7 Juillet  5.8tm  15.9%
14 Juillet  5.8tm  15.3%
19 Juillet  5.6tm  16%
21 Juillet  5.5tm  15.1%
24 Juillet  5.6tm  15.3%
28 Juillet  5.8tm 15.2%
30 Juillet 5.8tm  15.4%</t>
  </si>
  <si>
    <t xml:space="preserve">Barnston
Filtre  a Bande
3 Aout 5.3tm 15%
6 Aout 5.4tm 15.3%
11 Aout 5.5tm 16%
17 Aout 5.2tm 15.5%
30 Aout 5.33tm 15.5%
</t>
  </si>
  <si>
    <t>Barnston
Filtre a Bande
2 Sept. 5.59tm 15.4%
7 Sept. 5.23tm 15.4%
9 Sept 6.24tm 15.5%
14 Sept. 6.1tm 15.8%
16 Sept. 6tm 15.5%
22 Sept 5.54tm 16%
27 Sept. 6.31tm 15%</t>
  </si>
  <si>
    <t>Filtre a bande
A Barnston
1 Oct 5.5tm 15.8%
13 Oct 5.8tm 15.7%
21 Oct 5.54tm 15.6%</t>
  </si>
  <si>
    <t>Filtre a Bande
Barnston
2 Nov 6tm 15.5%
16 Nov 5.35tm 15.9%
23 Nov 5.65tm 17.1%</t>
  </si>
  <si>
    <t xml:space="preserve">Filtre a bande
Barnston
2 Dec 5.27tm 16.5%
17 Dec 5.67tm 16.1%
</t>
  </si>
  <si>
    <t>42.7kg</t>
  </si>
  <si>
    <t>43.7 kg</t>
  </si>
  <si>
    <t>54.75kg</t>
  </si>
  <si>
    <t>74.05 kg</t>
  </si>
  <si>
    <t>63.8kg</t>
  </si>
  <si>
    <t>77.35kg</t>
  </si>
  <si>
    <t>118.35 kg</t>
  </si>
  <si>
    <t>94.6 kg</t>
  </si>
  <si>
    <t>80.9</t>
  </si>
  <si>
    <t>48.09kg</t>
  </si>
  <si>
    <t>33.21</t>
  </si>
  <si>
    <t>59.75 kg</t>
  </si>
  <si>
    <t>14 m3 de boue disposée chez VIRIDIS Environnement. Siccité moyenne: 21.2%.</t>
  </si>
  <si>
    <t>13.2 m3 de boue disposé chez VIRIDIS Environnement. Siccité moyenne: 22.7%.</t>
  </si>
  <si>
    <t>10 m3 de boue évacuée chez VIRIDIS Environnement. Siccité moyenne: 23.8%.</t>
  </si>
  <si>
    <t xml:space="preserve">Date de sortie des boues: 05-08-14-20-26 janvier. Quantité: 19.9-17.2-20.2-19.7-19.6 tonne. Siccité moyenne: 30.0%. Lieu de disposition: Gestion Juno et Frères INC. </t>
  </si>
  <si>
    <t xml:space="preserve">Date de sortie des boues; 02-09-16-23 février. Quantité: 20.0-21.7-20.0-19.4 tonne. Siccité moyenne: 33.1%.. Lieu de disposition: Gestion Juneau et frères Inc. </t>
  </si>
  <si>
    <t>Date de sortie des boues: 03-05-09-16-19-24-30. Quantité: 18.2-19.3-18.5-17.6-16.2-15.8-15.3 tonne. Siccité moyenne: 32.2%. Lieu de disposition: Gestion Juno et freres Inc. - Ferme JP K7 Inc.</t>
  </si>
  <si>
    <t>Date de sortie: 01-07-12-20-22-27 avril. Quantité: 16.0-13.7-15.0-12.3-15.9-15.9 tonne. Siccité moyenne: 33.3%. Lieu de disposition: Ferme J-P-K-7 inc. et Gestion Juno et freres inc.</t>
  </si>
  <si>
    <t>Date de sortie: 04-10-14-20-25-28 mai. Quantité: 21.2-20.0-20.7-18.8-20.0-20.5 tonne. Siccité moyenne: 29.2%. Lieu de disposition:: Gestion Juno et frères Inc.</t>
  </si>
  <si>
    <t>Date de sortie: 04-09-16-22-28. Quantité: 17.9-19.8-21.6-18.1-20.5 tonne. Siccité moyenne: 27.4%. Lieu de disposition: Gestion Juneau et freres et Ferme JPK7 Inc.</t>
  </si>
  <si>
    <t>Date de sortie: 02-06-12-15-20-23-28 juillet. Quantité: 22.4-20.5-20.4-21.4-20.4-20.9-21.4 tonne. Siccité moyenne: 31.0%. Lieu de disposition: Gestion Jono et Freres Inc. et Ferme JMP Chretien et Fils inc.</t>
  </si>
  <si>
    <t>Date de sortie: 03-06-11-17-23-27 août. Quantité: 20.1-19.5-21.7-20.1-19.7-19.4 tonne. Siccité moyenne: 31.3%. Lieu de disposition: Gestion Juneau et frères inc. Ferme JMP Chrétien et Fils inc.</t>
  </si>
  <si>
    <t>Date de sortie: 02-08-14-17-23-28 septembre. Quantité: 18.6-19.2-21.3-19.8-20.1-20.6 tonne. Siccité moyenne:29.3%. Lieu de disposition: Gestion Juneau et frères Inc. et Ferme JPK-7 Inc.</t>
  </si>
  <si>
    <t>Date de sortie: 05-08-15-20-26 octobre. Quantité: 21.2-20.4-21.7-20.7-20.4 tonne. Siccité moyenne: 27.1%. Lieu de disposition: Gestion Juneau et freres inc.</t>
  </si>
  <si>
    <t>Date de sortie: 01-05-11-19-25 novembre. Quantité: 21.1-19.6-19.0-22.1-19.5 tonne. Siccité moyenne: 28.7%. Lieu de disposition: Ferme JPK7 inc. et Gestion Juno et frères Inc.</t>
  </si>
  <si>
    <t>Date de sortie: 02-10-15-22-28 décembre. Quantité: 18.5-21.7-18.5-18.9-21.1 tonne. Siccité moyenne: 31.4%. Lieu de disposition: Gestion Juno et Freres Inc.</t>
  </si>
  <si>
    <t>Système de presse a boues, l'évacuation ce fait par la société ENVIROCONNEXION, vers le site d'enfouissement de LACHENAIE._x000D_
La quantité de Boues évacués pour le mois de JANVIER est de 326.3 tonnes</t>
  </si>
  <si>
    <t>Système de presse a boues, l'évacuation ce fait par la société ENVIROCONNEXION, vers le site d'enfouissement de LACHENAIE._x000D_
La quantité de Boues évacués pour le mois de FÉVRIER est de 272.9 tonnes</t>
  </si>
  <si>
    <t>Système de presse a boues, l'évacuation ce fait par la société ENVIROCONNEXION, vers le site d'enfouissement de LACHENAIE._x000D_
La quantité de Boues évacués pour le mois de MARS est de 343.7 tonnes.</t>
  </si>
  <si>
    <t>Système de presse a boues, l'évacuation ce fait par la société ENVIROCONNEXION, vers le site d'enfouissement de LACHENAIE._x000D_
La quantité de Boues évacués pour le mois de AVRIL est de 371.1 tonnes à une siccité moyenne de 27.8%.</t>
  </si>
  <si>
    <t xml:space="preserve">Système de presse a boues, l'évacuation se fait par la société ENVIROCONNEXION, vers le site d'enfouissement de LACHENAIE._x000D_
La quantité de Boues évacuées pour le mois de MAI est de 405.7 tonnes à une siccité moyenne de 26.7%._x000D_
</t>
  </si>
  <si>
    <t>Système de presse a boues, l'évacuation se fait par la société ENVIROCONNEXION, vers le site d'enfouissement de LACHENAIE._x000D_
La quantité de Boues évacuées pour le mois de JUIN est de 360.7 tonnes à une siccité moyenne de 26.9%.</t>
  </si>
  <si>
    <t>Système de presse a boues, l'évacuation se fait par la société ENVIROCONNEXION, vers le site d'enfouissement de LACHENAIE._x000D_
La quantité de Boues évacuées pour le mois de JUILLET est de 424.8 tonnes à une siccité moyenne de 27.2%.</t>
  </si>
  <si>
    <t>Système de presse a boues, l'évacuation se fait par la société ENVIROCONNEXION, vers le site d'enfouissement de LACHENAIE._x000D_
La quantité de Boues évacuées pour le mois de AOUT est de 506.8 tonnes à une siccité moyenne de 25.4%.</t>
  </si>
  <si>
    <t>Système de presse a boues, l'évacuation se fait par la société ENVIROCONNEXION, vers le site d'enfouissement de LACHENAIE._x000D_
La quantité de Boues évacuées pour le mois de SEPTEMBRE est de 370.7 tonnes à une siccité moyenne de 27.4%.</t>
  </si>
  <si>
    <t>Système de presse a boues, l'évacuation se fait par la société ENVIROCONNEXION, vers le site d'enfouissement de LACHENAIE._x000D_
La quantité de Boues évacuées pour le mois de OCTOBRE est de 389,1 tonnes à une siccité moyenne de 28.2%.</t>
  </si>
  <si>
    <t xml:space="preserve">Système de presse a boues, l'évacuation se fait par la société ENVIROCONNEXION, vers le site d'enfouissement de LACHENAIE._x000D_
La quantité de Boues évacuées pour le mois de NOVEMBRE est de 402.8 tonnes à une siccité moyenne de 26.1%._x000D_
</t>
  </si>
  <si>
    <t>Système de presse a boues, l'évacuation se fait par la société ENVIROCONNEXION, vers le site d'enfouissement de LACHENAIE._x000D_
La quantité de Boues évacuées pour le mois de Décembre est de 325.3 tonnes à une siccité moyenne de 28.4%.</t>
  </si>
  <si>
    <t>Deux camion de 3000 gallon de la boite a déchet  total de 6000 gallon_x000D_
date de la vidange 2021-03-11</t>
  </si>
  <si>
    <t>Lagunes de la municipalité de Bouchette</t>
  </si>
  <si>
    <t>Deux camion de 3000 gallon chacun_x000D_
_x000D_
Date 2021-06-03</t>
  </si>
  <si>
    <t>l'emplacement des lagunes a Bouchette</t>
  </si>
  <si>
    <t xml:space="preserve">La vidanges a été fait le 28 octobre 2021  deux camion de 3000 gallon chacun </t>
  </si>
  <si>
    <t>centre de lagunes a Bouchette</t>
  </si>
  <si>
    <t>vidange des boues de la station de pompage par pompage sanitaire mont tremblant le 3 août 2021 par camion vacuum pour un volume total de 48m3</t>
  </si>
  <si>
    <t>site de pompage mont tremblant 48m3 le 3 août par camion vacuum</t>
  </si>
  <si>
    <t>vidange des boues dans les deux fosses pour un total de 52 m3 le 9 novembre par camion vacuum et station de pompage pour un volume de 9.5 m3 le 9 egalement</t>
  </si>
  <si>
    <t xml:space="preserve">le boues des fosses et de la station de pompage furent transporté au site de pompage sanitaire mont tremblant par camion citerne pour un total de 61,5 m3 le tout dans la journée du 9 novembre </t>
  </si>
  <si>
    <t xml:space="preserve">Vidange dans l'étang 1 par méthode de centrifugation. 294.51 tonnes sèches ont été soutirées et traitées à une moyenne de 23.4% de siccité. Les travaux ce sont déroulés entre le 4 et le 12 octobre 2021. </t>
  </si>
  <si>
    <t xml:space="preserve">Traitement par centrifugation de 294,5 tonnes de boues à une moyenne de 23.4 % de siccité provenant de l'étang 1 entre le 4 et le 12 octobre 2021.  Les boues ont été épandues chez les propriétaires suivant:  _x000D_
Mario Bourgea_x000D_
Ferme Millbrook SENC_x000D_
Ferme Maple Crest_x000D_
Trembling spring Farm_x000D_
Donald Carey_x000D_
Un rapport complet est disponible au besoin. _x000D_
</t>
  </si>
  <si>
    <t xml:space="preserve">3 charges du camion Vaccume avec un totale de 36 tonnes.lieu: station d'épuration. siccité moyenne = 55%. décanteur primaire côté droite. date: 28 janvier à 8h00. fin: 28 janvier 15h00. </t>
  </si>
  <si>
    <t>Bien que le mode de disposition ne soit pas précisé, les boues ont été considérées recyclées par Uteau.</t>
  </si>
  <si>
    <t xml:space="preserve">36 tonnes évacuée par un camion vaccume. lieu: station d'épuration vers Uteau. siccité: 60 %. Bassin: décanteur côté droite, clarificateur côté droite et les déssableurs. Fait le 4 février et le 11 février. </t>
  </si>
  <si>
    <t>12 tonnes, boues retirer par camion vaccume. lieu disposition: Uteau. Siccité : 70%. bassin: décanteur primaire. fait le jeudi 25 mars 2021</t>
  </si>
  <si>
    <t xml:space="preserve">vidange du clarificateur gauche et des desableurs. fait par camion vaccium emporter a Uteau. siccitee: 60%. vide: 12 tonnes de boues </t>
  </si>
  <si>
    <t>3600 gal., clarificateur gauche. camion vaccume à Uteau. siccité : 30%</t>
  </si>
  <si>
    <t>Les quantités saisies correspondent au volume déclaré par l'exploitant (gallons transposés en tonnes). Les boues ont été considérées comme ayant une densité de 0,8 tonne/m3. Bien que le mode de disposition ne soit pas précisé, les boues ont été considérées recyclées par Uteau.</t>
  </si>
  <si>
    <t>Ouvrage municipal d'assainissement des eaux usées de Champlain</t>
  </si>
  <si>
    <t>Champlain</t>
  </si>
  <si>
    <t>Les Chenaux</t>
  </si>
  <si>
    <t>Vidange des boues de la cellule no.3 du 18 au 20 octobre 2021. Les boues ont été pompées par drague et mises dans des géo-membranes (déshydratation passive)._x000D_
Pompage de 1227 m³ à une siccité moyenne de 1,548% pour un total de 18,99 Tonnes sèches.</t>
  </si>
  <si>
    <t>Valorisation à St-Chrysostome, 146.51 MH</t>
  </si>
  <si>
    <t>Valorisation à St-Chrysostome, 143.46 MH</t>
  </si>
  <si>
    <t>Valorisation à St-Chrysostome 132.08MH</t>
  </si>
  <si>
    <t>Valorisation MFR à St-Chrysostome, 129.20 tonne M. Humide soit 10.8 bennes_x000D_
38.42 tonne mètrique sèche, siccité de 29,6% en moyenne</t>
  </si>
  <si>
    <t>Valorisation à St-Chrysostome, 212.50 MH</t>
  </si>
  <si>
    <t>Valorisation à St-Chrysostome, 284.89 MH_x000D_
moyenne de la siccité 24.5 %</t>
  </si>
  <si>
    <t>Valorisation à St-Chrysostome, 259.29 MH_x000D_
disposition par camion benne _x000D_
concentration moyenne du polymère ZETAG 8160 @ 0,16 mg/l_x000D_
Siccité moyenne de 25.3%_x000D_
boues @ 65 Tonne MS</t>
  </si>
  <si>
    <t>Valorisation à St-Chrysostome 232.32 MH</t>
  </si>
  <si>
    <t>Valorisation à St-Chrysostome 245.89 MH</t>
  </si>
  <si>
    <t>Valorisation à St-Chrysostime, 259.56 MH</t>
  </si>
  <si>
    <t>Valorisation à St-Chrysostome, 161.14 MH</t>
  </si>
  <si>
    <t xml:space="preserve">Méthode de disposition: Camion citerne.                                                              Méthode de disposition: Camion citerne._x000D_
Lieu de disposition: Chénéville.                                                                              Lieu de disposition: Chénéville._x000D_
Quantité de boues: 8 m3.                                                                                       Quantité de boues: 12 m3._x000D_
Siccité moyenne: 4.2 %.                                                                                           Siccité moyenne: 4.1 %_x000D_
Bassin: Bassin: # 1.                                                                                                   Bassin: Bassin # 1._x000D_
Date: 05 janvier 2021.                                                                                              Date: 21 janvier 2021._x000D_
Méthode utilisée: Vaccum.                                                                                      Méthode utilisée: Vacuum._x000D_
_x000D_
</t>
  </si>
  <si>
    <t xml:space="preserve">Méthode: Camion citerne.                                  Méthode: Camion citerne.                                           Méthode: Camion citerne.  
Lieu: Chénéville.                                                  Lieu: Chénéville.                                                           Lieu: Chénéville. 
Quantité 1: 12 m3.                                              Quantité 2: 31 m3.                                                       Quantité 3: 23 m3.
Siccité: 4.2 %.                                                      Siccité: 9.6 %.                                                               Siccité: 3.7 %.
Bassin: Bassin #1.                                                Bassin: Chambre des vannes.                                      Bassin: Bassin #1.
Date: 05 Février 2021.                                         Date: 09 Février 2021.                                                 Date: 19 Février 2021. 
Méthode: Vaccum.                                              Méthode: Vaccum.                                                      Méthode: Vaccum. </t>
  </si>
  <si>
    <t xml:space="preserve">Méthode: Camion citerne,                     Méthode: Camion citerne,                      Méthode: Camion citerne,                               Méthode: Camion citerne, _x000D_
Lieu: Chénéville,                                     Lieu: Chénéville,                                      Lieu: Chénéville,                                               Lieu: Chénéville,_x000D_
Quantité: 10 m3,                                    Quantité: 10 m3,                                     Quantité: 10 m3,                                              Quantité: 16 m3,_x000D_
Siccité: 4 %,                                            Siccité: 4 %,                                             Siccité: 4.7 %,                                                   Siccité: 4.9 %_x000D_
Bassin: Bassin #1,                                   Bassin: Bassin #1,                                    Bassin: Bassin #1,                                             Bassi: Bassin #1,_x000D_
Date: 05-03-2021                                   Date: 08-03-2021,                                   Date: 19-03-2021,                                            Date: 23-03-2021,_x000D_
Méthode: Vaccum.                                 Méthode: Vacuum.                                 Méthode: Vacuum.                                           Méthode: Vacuum.                              </t>
  </si>
  <si>
    <t xml:space="preserve">Méthode: Camion citerne,                                                     Méthode: Camion citerne,_x000D_
Lieu: Chénéville,                                                                     Lieu: Chénéville,_x000D_
Quantité: 29 m3,                                                                    Quantité: 42 m3, _x000D_
Siccité: 5.1 %,                                                                         Siccité: 7.5 %,_x000D_
Bassin: Bassin # 1,                                                                  Bassin: Chambres de vannes,,_x000D_
Date:  06-04-2021,                                                                 Date:  08-04-2021, _x000D_
Méthode: Vacuum.                                                                Méthode: Vacuum. </t>
  </si>
  <si>
    <t>Méthode: Camion citerne,_x000D_
Lieu: Chénéville,_x000D_
Quantité: 10 m3,_x000D_
Siccité: 4.7 %,_x000D_
Bassin: Bassin # 1,_x000D_
Date: 18 Mai 2021,_x000D_
Méthode: Vaccum.</t>
  </si>
  <si>
    <t xml:space="preserve">Méthode: Camion citerne,                 Méthode: Camion citerne,                              Méthode: Camion citerne,                              Méthode: Camion citerne,   _x000D_
Lieu: Chénéville,                                 Lieu: Chénéville,                                              Lieu: Chénéville,                                              Lieu: Chénéville, _x000D_
Quantité: 31 m3,                                Quantité: 25 m3,                                             Quantité: 23 m3,                                             Quantité: 35 m3,_x000D_
Siccité: 4.2 %,                                     Siccité: 5.4 %                                                   Siccité: 4.3 %                                                   Siccité: 4.5 %_x000D_
Bassin: Bassin 1,                                 Bassin: Chambre de vannes,                           Bassin: Bassin 1,                                              Bassin: Bassin 1,  _x000D_
Date: 01 Juin 2021,                            Date: 03 Juin 2021,                                          Date: 15 Juin 2021,                                         Date: 29 Juin 2021, _x000D_
Méthode: Vacuum.                            Méthode: Vacuum.                                          Méthode: Vacuum.                                         Méthode: Vacuum. </t>
  </si>
  <si>
    <t xml:space="preserve">Méthode: Camion citerne,                              Méthode: Camion citerne,                              Méthode: Camion citerne,                                             Méthode: Camion citerne,                                _x000D_
Lieu: Chénéville,                                              Lieu: Chénéville,                                              Lieu: Chénéville,                                                            Lieu: Chénéville,  _x000D_
Quantité: 27 m3                                              Quantité: 34 m3                                              Quantité: 36 m3                                                           Quantité: 7 m3_x000D_
Siccité:  3.6 %                                                  Siccité: 9.2 %                                                   Siccité: 04 %                                                                  Siccité:  6.4 %_x000D_
Bassin:   Bassin 1                                             Bassin: Ch. des vannes                                    Bassin: Bassin 1                                                             Bassin:  Ch. des vannes_x000D_
Date:  13-07-2021                                           Date:  21-07-2021                                          Date:  27-07-2021                                                         Date: 29-07-2021_x000D_
Méthode: Vacuum                                          Méthode: Vacuum                                          Méthode: Vacuum                                                        Méthode: Vacuum  _x000D_
                                                                                           </t>
  </si>
  <si>
    <t>Méthode: Camion citerne,            Méthode: Camion citerne,    Méthode: Camion citerne,             Méthode: Camion citerne,                                       Méthode: Camion citerne,_x000D_
Lieu: Chénéville,                            Lieu: Chénéville,                    Lieu: Chénéville,                             Lieu: Chénéville,                                                       Lieu: Chénéville,  _x000D_
Quantité: 08 m3,                           Quantité: 29 m3,                   Quantité: 46 m3                             Quantité: 23 m3                                                       Quantité: 18 m3 _x000D_
Siccité: 3.1 %,                                Siccité: 3.4 %,                         Siccité: 2.2 %,                                 Siccité: 2 %,                                                              Siccité: 2.5 %, _x000D_
Bassin: Bassin #1,                          Bassin: Bassin #1,                   Bassin: Bassin #1,                           Bassin: Bassin #1                                                      Bassin: Bassin #1 _x000D_
Date: 03-08-2021.                         Date: 10-08-2021.                  Date: 17-08-2021.                          Date: 24-08-2021.                                                    Date: 31-08-2021.</t>
  </si>
  <si>
    <t xml:space="preserve">Méthode: Camion Citerne,             Méthode: Camion Citerne,              Méthode: Camion Citerne,              Méthode: Camion Citerne,               Méthode: Camion Citerne,  _x000D_
Lieu: Chénéville,                             Lieu: Chénéville,                               Lieu: Chénéville,                              Lieu: Chénéville,                                Lieu: Chénéville, _x000D_
Quantité: 23 m3,                            Quantité: 19 m3,                              Quantité: 38 m3,                             Quantité: 53 m3,                               Quantité: 29 m3, _x000D_
Siccité: 1.9 %,                                 Siccité: 2.0 %,                                   Siccité: 1.1 %,                                  Siccité: 17%                                       Siccité: 2.1 %_x000D_
Bassin: Bassin # 1,                          Bassin: Bassin # 1,                            Bassin: Bassin # 1,                          Bassin: Chambres de vannes,             Bassin: Bassin # 1, _x000D_
Date: 07-09-2021,                          Date: 14-09-2021                            Date: 21-09-2021                           Date: 23-09-2021,                              Date: 28-09-2021,_x000D_
Méthode: Vacuum.                         Méthode: Vacuum.                          Méthode: Vacuum.                         Méthode: Vacuum.                             Méthode: Vacuum.                             </t>
  </si>
  <si>
    <t xml:space="preserve">Méthode: Camion citerne,                              Méthode: Camion citerne,                              Méthode: Camion citerne,                            Méthode: Camion citerne,       _x000D_
Lieu: Chénéville,                                              Lieu: Chénéville,                                              Lieu: Chénéville,                                           Lieu: Chénéville, _x000D_
Quantité: 26 m3,                                             Quantité: 22 m3,                                             Quantité: 23 m3,                                          Quantité: 29 m3, _x000D_
Siccité: 2.1 %,                                                  Siccité: 1.3 %,                                                  Siccité: 2.1 %.                                                Siccité: 1.7 %,_x000D_
Bassin: Bassin # 1,                                           Bassin #1,                                                        Bassin: # 1.                                                   Bassin: # 1,_x000D_
Date: 05-10-2021,                                           Date: 12-10-2021,                                           Date: 19-10-2021,                                        Date: 26-10-2021, _x000D_
Méthode: Vacuum.                                         Méthode: Vacuum.                                          Méthode: Vacuum.                                       Méthode: Vacuum. _x000D_
</t>
  </si>
  <si>
    <t xml:space="preserve">Méthode: Camion citerne,                Méthode: Camion citerne,                  Méthode: Camion citerne,                 Méthode: Camion citerne,                      Méthode: Camion citerne,_x000D_
Lieu: Chénéville,                                Lieu: Chénéville,                                  Lieu: Chénéville,                                 Lieu: Chénéville,                                      Lieu: Chénéville,_x000D_
Quantité: 23 m3,                               Quantité: 28 m3,                                 Quantité: 25 m3,                                Quantité: 52 m3,                                     Quantité: 31 m3,  _x000D_
Siccité: 1.9 %,                                    Siccité: 2.1 %,                                      Siccité: 1.6 %,                                      Siccité: 15 %,                                          Siccité: 1.6 %,_x000D_
Bassin: Bassin #1,                              Bassin: Bassin #1,                               Bassin: Bassin #1,                                Bassin: Ch. des vannes,                           Bassin: Bassin #1, _x000D_
Date: 03-11-2021,                             Date: 10-11-2021,                              Date: 17-11-2021,                               Date: 18-11-2021,                                  Date: 24-11-2021, _x000D_
Méthode: Vacuum.                           Méthode: Vacuum.                             Méthode: Vacuum.                              Méthode: Vacuum.                                 Méthode: Vacuum. </t>
  </si>
  <si>
    <t xml:space="preserve">Méthode: Camion citerne,          Méthode: Camion citerne,           Méthode: Camion citerne,              Méthode: Camion citerne,              Méthode: Camion citerne,_x000D_
Lieu: Chénéville,                          Lieu: Chénéville,                           Lieu: Chénéville,                              Lieu: Chénéville,                              Lieu: Chénéville,_x000D_
Quantité: 31 m3,                         Quantité: 19 m3,                          Quantité: 20 m3,                             Quantité: 29 m3,                             Quantité: 21 m3, _x000D_
siccité: 1.7 %,                               Siccité: 1 %,                                 Siccité: 1.5 %,                                   Siccité: 2.4 %,                                  Siccité: 1.2 %,_x000D_
Bassin: Bassin #1,                        Bassin: Bassin #1,                        Bassin: Bassin #1,                             Bassin: Bassin #1,                            Bassin: Bassin #1,_x000D_
Date: 01-12-2021,                       Date: 08-12-2021,                       Date: 15-12-2021,                            Date: 22-12-2021,                           Date: 29-12-2021,  _x000D_
Méthode: Vacuum.                      Méthode: Vacuum.                     Méthode: Vacuum.                           Méthode: Vacuum.                          Méthode: Vacuum. </t>
  </si>
  <si>
    <t>videnge fosse le 7      disposition des boues effectuer par vide tout</t>
  </si>
  <si>
    <t>16 mars  vider fosse  vider et disposer par l entreprise vide tout</t>
  </si>
  <si>
    <t>9 juin faire vider fosse septique par la compagnie vide tout</t>
  </si>
  <si>
    <t>le 21 vider fosse septique par vide tout inc</t>
  </si>
  <si>
    <t>faire vider fosse par les entreprises vide tout le 30 sept</t>
  </si>
  <si>
    <t>le 16 décembre vider les 2 fosse</t>
  </si>
  <si>
    <t>CONTOURNEMENT DE LA STATION,LA QUANTITÉ ESTIMES EST INVIRON 246 METRES CUBELE DÉBUT A ÉTÉ DU 30 JUILLET AUX 4 AOUT 2021</t>
  </si>
  <si>
    <t>Ouvrage municipal d'assainissement des eaux usées de Coaticook</t>
  </si>
  <si>
    <t xml:space="preserve">Bassin #1 et #4_x000D_
date début: 15 octobre 2021_x000D_
Date de fin:  29 octobre 2021_x000D_
Méthode utilisé: Pompage par une barge et déshydratation par  centrifugeuse_x000D_
quantité soutirée en m3 :   bassin #1 : 2415 m3 et bassin #4 3970 m3_x000D_
siccité moyenne en % : bassin #1 : 19,6% et bassin #4 :11,3 %_x000D_
</t>
  </si>
  <si>
    <t>Méthode de disposition  épandage sur terre agricole_x000D_
lieu de disposition: _x000D_
ferme Broadvista (S.E.N.C) 255 chemin carrier waterville(QC) J0B 3H0_x000D_
Ferme Forestview S.E.N.C 68 chemin high forest saint-isidore de clifton J0B 2X0_x000D_
Ferme Pavonedale  285 chemin carrier compton J0B1L0_x000D_
283, chemin du lac sainte-Catherine de Hatley_x000D_
quantité de boues évacuée en m³,: bassin #1 : 2415 m3 et bassin #4 3970 m3_x000D_
siccité moyenne des boues évacuée en %: bassin #1 : 19,6% et bassin #4 :11,3 %_x000D_
identification du bassin: 1 et 4_x000D_
 date de début et de fin de la vidange: 15 octobre au 29 octobre 2021_x000D_
méthode utilisé:  épandage sur terre agricole</t>
  </si>
  <si>
    <t>Les boues soutirées ont été considérées à 4 % de matières sèches, pour un total de 97 et 159 tonnes sèches qui ont été ramenées aux siccités déclarés, respectivement 19,6 % et 11,3 %..</t>
  </si>
  <si>
    <t>Nous avons fait évacuer des boues par camion vers l'usine d'épuration de Valleyfield via la compagnie Transport Pharand. Il est sortie 293.6 mètres cubes de boues liquides à une siccité moyenne de 1.6%. Nous avons concentré les boues dans le bassin #1 et la vidange à eu lieu du 02 au 09 août 2021.</t>
  </si>
  <si>
    <t>Nous avons fait évacuer des boues par camion vers l'usine d'épuration de Valleyfield via la compagnie Transport Pharand. Il est sortie 174.2 mètres cubes de boues liquides à une siccité moyenne de 1.8%. Nous avons concentré les boues dans le bassin #1 et la vidange à eu lieu du 20 au 21 octobre 2021.</t>
  </si>
  <si>
    <t>Une déshydratation par centrifugeuse a eu lieu du 04 au 29 Janvier 2021. Le volume total est de 181.3 tonnes avec une siccité de 20.5%. Les boues ont été disposée pour une revalorisation agricole par la firme Viridis Environnement.</t>
  </si>
  <si>
    <t>Une déshydratation par centrifugeuse a eu lieu du 01 au 26 Février 2021. Le volume total est de 183.6 tonnes avec une siccité de 21.5%. Les boues ont été disposée pour une revalorisation agricole par la firme Viridis Environnement.</t>
  </si>
  <si>
    <t>Une déshydratation par centrifugeuse a eu lieu du 01 au 31 Mars 2021. Le volume total est de 246.5 tonnes avec une siccité de 21.4%. Les boues ont été disposée pour une revalorisation agricole par la firme Viridis Environnement.</t>
  </si>
  <si>
    <t>Une déshydratation par centrifugeuse a eu lieu du 08 au 30 Avril 2021. Le volume total est de 136.8 tonnes avec une siccité de 24.1%. Les boues ont été disposée pour une revalorisation agricole par la firme Viridis Environnement.</t>
  </si>
  <si>
    <t xml:space="preserve">Les boues déhysdratées par la centrifugeuse ont été valorisé par la firme Viridis.  Il a eu 125.89 tonnes de boues à une siccité moyenne de 21.5% de disposées tout au long du mois, soit du 1er au 30 mai 2021.  </t>
  </si>
  <si>
    <t>Une déshydratation par centrifugeuse a eu lieu du 01 au 28 Juin 2021. Le volume total est de 184.9 tonnes avec une siccité de 22.0%. Les boues ont été disposée pour une revalorisation agricole par la firme Viridis Environnement.</t>
  </si>
  <si>
    <t>Une déshydratation par centrifugeuse a eu lieu du 02 au 30 Juillet 2021. Le volume total est de 167.1tonnes avec une siccité de 20.2%. Les boues ont été disposée pour une revalorisation agricole par la firme Viridis Environnem=</t>
  </si>
  <si>
    <t>Une déshydratation par centrifugeuse a eu lieu du 02 au 30 Aout 2021. Le volume total est de 200.2 tonnes avec une siccité de 19.5%. Les boues ont été disposée pour une revalorisation agricole par la firme Viridis Environnement</t>
  </si>
  <si>
    <t>Une déshydratation par centrifugeuse a eu lieu du 01 au 24 Septembre 2021. Le volume total est de 100.9 tonnes avec une siccité de 19.7%. Les boues ont été disposée pour une revalorisation agricole par la firme Viridis Environnement</t>
  </si>
  <si>
    <t>Une déshydratation par centrifugeuse a eu lieu du 03 au 31octobre 2021. Le volume total est de 140.9 tonnes avec une siccité de 20.1%. Les boues ont été disposée pour une revalorisation agricole par la firme Viridis Environnement.</t>
  </si>
  <si>
    <t>Une déshydratation par centrifugeuse a eu lieu du 1 au 29 novembre 2021. Le volume total est de 178.8 tonnes avec une siccité de 19.0%. Les boues ont été disposée pour une revalorisation agricole par la firme Viridis Environnement.</t>
  </si>
  <si>
    <t>Une déshydratation par centrifugeuse a eu lieu du 01 au 30 décembre 2021 . Le volume total est de 199.5 tonnes avec une siccité de 19.1%. Les boues ont été disposée pour une revalorisation agricole par la firme Viridis Environnement.</t>
  </si>
  <si>
    <t xml:space="preserve">Les boues sont pompées en continu à partir de notre décanteur primaire et de nos deux décanteurs secondaires pour être dirigées vers un cuvier de boues mixtes duquel les boues sont déshydratées avec l'aide de 4 presses à vis.  La siccité moyenne pour le mois de janvier a été de 41.06%._x000D_
Les boues ont été disposées de deux façons:_x000D_
728 tonnes ont été brûlées à l'usine de Bromptonville_x000D_
3878 tonnes ont été valorisées agricolement._x000D_
</t>
  </si>
  <si>
    <t>Les boues sont pompées en continue à partir de notre décanteur primaire et de nos deux décanteurs secondaires pour être dirigées vers un cuvier de boues mixtes duquel sont extraites les boues avec l'aide de 4 presses à vis.  La siccité moyenne pour le mois en cours a été de 38.53%_x000D_
Les boues ont été disposées de deux façons:_x000D_
3108 tonnes ont été envoyées en cogénération (usine de Bromptonville)_x000D_
2253 tonnes ont été valorisées agricolement.</t>
  </si>
  <si>
    <t xml:space="preserve">Les boues sont pompées en continu à partir de notre décanteur primaire et de nos deux décanteurs secondaires pour être dirigées vers un cuvier de boues mixtes duquel les boues sont déshydratées avec l'aide de 4 presses à vis.  La siccité moyenne mensuelle pour le mois de mars a été de 41.18%_x000D_
Les boues ont été disposées de deux manières_x000D_
4194 tonnes ont été brûlées à l'usine de Bromptonville (cogénération)_x000D_
870 tonnes ont été valorisées agricolement_x000D_
_x000D_
</t>
  </si>
  <si>
    <t xml:space="preserve">Les boues sont pompées en continue à partir de notre décanteur primaire et de nos deux décanteurs secondaires pour être dirigées vers un cuvier de boues mixtes duquel elles sont déshydratées avec l'aide de 4 presses à vis.  La siccité moyenne pour le mois d'avril a été de 42.7%_x000D_
Les boues ont été disposées de deux façons:_x000D_
2805 tonnes ont été brûlées à l'usine de Bromptonville (Cogen)_x000D_
1676 tonnes ont été valorisées agricolement_x000D_
_x000D_
</t>
  </si>
  <si>
    <t xml:space="preserve">Les boues sont pompées en continue à partir de notre décanteur primaire et de nos deux décanteurs secondaires pour être dirigées vers un cuvier de boues mixtes duquel les boues sont déshydratées avec l'aide de 4 presses à vis.  La siccité moyenne pour le mois de mai a été de 40.1 %._x000D_
Les boues ont été disposées de deux manières:_x000D_
304 tonnes ont été brûlées à l'usine de Bromptonville (cogén)_x000D_
5582 tonnes ont été valorsisées agricolement._x000D_
</t>
  </si>
  <si>
    <t>Les boues sont pompées en continue à partir de notre décanteur primaire et de nos deux décanteurs secondaires pour être dirigées vers un cuvier de boues mixtes duquel les boues sont déshydratées avec l'aide de 4 presses à vis.  La siccité moyenne pour le mois en cours a été de 41.05%_x000D_
Les boues ont été disposées de trois façons_x000D_
5475 tonnes ont été envoyées en valorisation agricole_x000D_
109 tonnes ont été brulées à l'usine de Bromptonville_x000D_
38 tonnes ont été revégétalisée à la Mine Jeffrey_x000D_
293 tonnes ont été envoyées dans un site d'enfouissement (site Harmonie)</t>
  </si>
  <si>
    <t xml:space="preserve">Les boues sont pompées en continu à partir de notre décanteur primaire et de nos deux décanteurs secondaires pour être dirigées vers un cuvier de boues mixtes duquel le mélange est déshydraté avec l'aide de 4 presses à vis pour une siccité moyenne mensuelle de 46.01%_x000D_
Les boues ont été disposées de deux façons:_x000D_
2424 tonnes ont été envoyées à cogénération à l'usine de Bromptonville_x000D_
3530 tonnes ont été valorisées agricolement_x000D_
</t>
  </si>
  <si>
    <t>Les boues sont pompées en continu à partir de nos deux décanteurs secondaires et de notre décanteur primaire pour être dirigées vers un cuvier de boues mixtes duquel les boues mélangées sont déshydratées avec l'aide de 4 presses à vis.  La siccité moyenne de ces boues pour le mois d'août a été de 44.33%_x000D_
_x000D_
Les boues ont été disposées de deux manières:_x000D_
1173 tonnes ont été brûlées (cogénération) à l'usine de Bromptonville_x000D_
6002 tonnes ont été valorisées agricolement</t>
  </si>
  <si>
    <t>Les boues sont pompées en continue à partir de notre décanteur primaire et de nos deux décanteurs secondaires pour être dirigées vers un cuvier de boues mixtes duquel les boues mélangées sont déshydratées avec l'aide de 4 presses à vis.  La siccité moyenne pour le mois de septembre a été de 44.94%_x000D_
Les boues ont disposées de deux façons:_x000D_
1717 tonnes ont été brûlées (cogen) à Bromptonville_x000D_
2415 tonnes ont été valorisées agricolement</t>
  </si>
  <si>
    <t xml:space="preserve">Les boues sont pompées en continue à partir de notre décanteur primaire et de nos deux décanteurs secondaires pour être dirigées vers un cuvier de boues mixtes duquel les boues sont déshydratées avec l'aide de quatre presses à vis.  La siccité moyenne pour le mois d'octobre a été de 44.94%._x000D_
Les boues ont été disposées de deux manières:_x000D_
1717 tonnes ont été brulées à l'usine de Bromptonville (cogénération)_x000D_
2415 tonnes ont été valorisées agricolement_x000D_
</t>
  </si>
  <si>
    <t>Les boues sont pompées en continue à partir de notre décanteur primaire et de nos deux décanteurs secondaires pour être dirigées vers un cuvier de boues mixtes duquel les boues sont déhydratées avec l'aide de 4 presses à vis.  La siccité moyenne de ces boues a été de 41.05%_x000D_
_x000D_
Les boues ont été disposées de trois manières_x000D_
116 tonnes ont été envoyée au site Harmonie (enfouissement)_x000D_
5369 tonnes ont été brulée à l'usine de Bromptonville (cogen)_x000D_
454 tonne ont été valorisées agricolement</t>
  </si>
  <si>
    <t>Les boues sont pompées en continue à partir de notre décanteur primaire et de nos deux décanteurs secondaires pour être dirigées vers un cuvier de boues mixtes duquel, le mélange est déshydraté avec l'aide de 4 presses à vis.  La siccité moyenne pour le mois de décembre a été de 41.14%._x000D_
Les boues ont été disposées de deux façons au cours du mois:_x000D_
3028 tonnes ont été brûlées (cogen) à l'usine de Bromptonville_x000D_
2520 tonnes ont été valorisées agricolement</t>
  </si>
  <si>
    <t>Ouvrage municipal d'assainissement des eaux usées de Deschaillons-sur-Saint-Laurent</t>
  </si>
  <si>
    <t>Deschaillons-sur-Saint-Laurent</t>
  </si>
  <si>
    <t>Bécancour</t>
  </si>
  <si>
    <t>Début de la vidange de la cellule #4 par dragage le 29 juillet._x000D_
Continuer à vidanger la cellule #4 le 30 juillet._x000D_
Quantité enlevé dans la cellule :771,21 m³_x000D_
Siccité moyenne :2,28 %</t>
  </si>
  <si>
    <t>Disposition des boues du sac géotube existant depuis juin 2014._x000D_
Disposition faite le 6 juillet par transport de semi-trailer et chargement avec une pelle mécanique._x000D_
Le lieu de disposition est : Route Le Laidier, entre le rang St-Charles et la route Marie-Victorin à St-Pierre-les-Becquets. Coordonnée GPS 46.501532-72.182142._x000D_
Poids net = 127,92 tonnes_x000D_
TMS = 47,65_x000D_
Siccité = 37,18 % de moyenne._x000D_
Disposition des boues suite à la vidange de la cellule #1 de juin 2014.</t>
  </si>
  <si>
    <t>Terminer la vidange de la cellule #4 le 2 août ( 496 m³ et 2,42 % de siccité moyenne)._x000D_
Faire la vidange de la cellule #1 le 3,4,5,6 août.  (2465,63 m³ et 2,08% de siccité moyenne.)_x000D_
Faire une partie de la vidange de la cellule #2 le 9,10,11 août.  (645,35 m³ et 3,37% de siccité moyenne.)_x000D_
La vidange a été faite par dragage avec un système de polymérisation avec géotube et lit de séchage.</t>
  </si>
  <si>
    <t>Ouvrage municipal d'assainissement des eaux usées de Dolbeau-Mistassini (Dolbeau)</t>
  </si>
  <si>
    <t>Dolbeau-Mistassini</t>
  </si>
  <si>
    <t>Maria-Chapdelaine</t>
  </si>
  <si>
    <t>Bassin #1 : du 17 octobre au 26 octobre par draguage, 8275 mètres cube soutirés avec une siccité moyenne de 2,55 %._x000D_
Bassin #2 : du 27 octobre au 13 novembre par draguage, 13 372 mètres cube soutirés avec une siccité de 2,68 %._x000D_
Bassin #3 : du 2 octobre au 16 octobre par draguage, 23 220 mètres cube soutirés avec 2.27 % de siccité.</t>
  </si>
  <si>
    <t>Ouvrage municipal d'assainissement des eaux usées de Dolbeau-Mistassini (Mistassini)</t>
  </si>
  <si>
    <t>Bassin #2A        Méthode: Draguage          Quantité soutirée: 17 827 m³        Siccité moyenne : 3,08 %      Du 4 juillet au 20 juillet 2021_x000D_
Bassin #3          Méthode: Draguage           Quantité soutirée: 13 030 m³       Siccité moyenne : 2.56 %      Du 23 juin au 3 juillet 2021_x000D_
Bassin #4          Méthode: Draguage           Quantité soutirée:  4 695 m³        Siccité moyenne : 3.09 %      Du 20 juin au 23 juin 2021</t>
  </si>
  <si>
    <t xml:space="preserve">Nous avons débuté le 12 août la vidange de l'étang 1B par dragage avec déshydratation par centrifugeuses._x000D_
Une quantité de 2530.84 TMS de boues on été soutirées de l'étang jusqu'aux 9 septembre  avec une siccité moyenne de 22.43%._x000D_
</t>
  </si>
  <si>
    <t xml:space="preserve">Voici les sites pour la disposition de nos boues envoyées directement pour valorisation agricole: _x000D_
PO 21.1 : Chemin de la Rivière 9, St-Felix				_x000D_
PO 21.2 : 1075 rang Therrien, St-Felix				_x000D_
PO 21.3 : 1075 rang Therrien, St-Felix				_x000D_
PO 21.4 : intersection rang Côté et 8e rang, St-Felix.				_x000D_
PO 21.5 : Intersection rang 7 et route 255, St-Felix				_x000D_
PO 21.6 : Intersection 8e rang et Talbot, St-Felix				_x000D_
PO 21.7 : 475, Chemin de la Beauce, Calixa-Lavallée				_x000D_
PO 21.8 : 5500 Rte Guilmain, St-Hyacinthe				_x000D_
PO 21.9 : Intersection 8e rang et Talbot, St-Felix				_x000D_
PO 21.10	Intersection 9e Rang et Talbot, St-Felix de Kingsway			_x000D_
PO 21.11	848 8e rang, St-Felix de Kingsey			_x000D_
PO 21.12	En face du 3074, rang de Picardie, Varennes			_x000D_
</t>
  </si>
  <si>
    <t>Nous avons débuté le 12 août la vidange de l'étang 1B par dragage avec déshydratation par centrifugeuses. Une quantité de 2530.84 TMS de boues on été soutirées de l'étang jusqu'aux 9 septembre avec une siccité moyenne de 22.43%.</t>
  </si>
  <si>
    <t xml:space="preserve">Voici les sites pour la disposition de nos boues envoyées directement pour valorisation agricole:_x000D_
PO 21.1 : Chemin de la Rivière 9, St-Felix				_x000D_
PO 21.2 : 1075 rang Therrien, St-Felix				_x000D_
PO 21.3 : 1075 rang Therrien, St-Felix				_x000D_
PO 21.4 : intersection rang Côté et 8e rang, St-Felix.				_x000D_
PO 21.5 : Intersection rang 7 et route 255, St-Felix				_x000D_
PO 21.6 : Intersection 8e rang et Talbot, St-Felix				_x000D_
PO 21.7 : 475, Chemin de la Beauce, Calixa-Lavallée				_x000D_
PO 21.8 : 5500 Rte Guilmain, St-Hyacinthe				_x000D_
PO 21.9 : Intersection 8e rang et Talbot, St-Felix				_x000D_
PO 21.10	Intersection 9e Rang et Talbot, St-Felix de Kingsway			_x000D_
PO 21.11	848 8e rang, St-Felix de Kingsey			_x000D_
PO 21.12	En face du 3074, rang de Picardie, Varennes			_x000D_
</t>
  </si>
  <si>
    <t>Vidange du bassin de boues, des fosses 1 et 2 et des 2 décanteurs_x000D_
Méthode: camions récureurs_x000D_
Date début et fin 2 septembre 2021_x000D_
Quantité: 68.14m3_x000D_
Siccité moyenne: 2,2%</t>
  </si>
  <si>
    <t>Déshydratation par centrifugeuse._x000D_
Valorisation par Viridis Environnement_x000D_
Quantité totale mensuelle: 90,7 Tonnes métrique_x000D_
Siccité moyenne: 22 %</t>
  </si>
  <si>
    <t>Il a été présumé que le site de valorisation était en milieu agricole.</t>
  </si>
  <si>
    <t>Déshydratation par centrifugeuse_x000D_
Valorisation par Viridis Environnement_x000D_
Quantité totale mensuelle: 90.7 Tonnes métrique_x000D_
Siccité moyenne: 22 %</t>
  </si>
  <si>
    <t>Déshydratation par centrifugeuse._x000D_
Valorisation par Viridis Environnement_x000D_
Quantité totale mensuelle: 108.2 Tonnes métrique_x000D_
Siccité moyenne: 22.8 %</t>
  </si>
  <si>
    <t xml:space="preserve">Déshydratation par centrifugeuse._x000D_
Valorisation par Viridis Environnement._x000D_
Quantité totale mensuelle: 114.3 Tonnes métrique_x000D_
Siccité moyenne: 23,4 % </t>
  </si>
  <si>
    <t>Déshydratation par centrifugeuse_x000D_
Valorisation par Viridis Environnement Inc._x000D_
Quantité totale mensuelle:  118.5 Tonnes métrique _x000D_
Siccité moyenne:  22.8  %</t>
  </si>
  <si>
    <t>Déshydratation par centrifugeuse_x000D_
Valorisation par Viridis Environnement inc._x000D_
Quantité totale mensuelle: 102.5 Tonnes métrique._x000D_
Siccité moyenne:  23.2%</t>
  </si>
  <si>
    <t>Déshydratation par centrifugeuse._x000D_
Valorisation par Viridis Environnement Inc._x000D_
Quantité totale mensuelle: 100,6 Tonnes Métrique_x000D_
Siccité moyenne: 24.1 %</t>
  </si>
  <si>
    <t>Déshydratation par centrifugeuse._x000D_
Valorisation par Viridis Environnement Inc._x000D_
Quantité totale mensuelle: 74.5 Tonnes Métrique._x000D_
Siccité moyenne: 22.9 %</t>
  </si>
  <si>
    <t>Déshydratation par centrifugeuse._x000D_
Valorisation par Viridis Environnement Inc._x000D_
Quantité totale mensuelle:  68.4 Tonnes Métrique_x000D_
Siccité moyenne: 22.5 %</t>
  </si>
  <si>
    <t>Déshydratation par centrifugeuse._x000D_
Valorisation par Viridis Environnement Inc._x000D_
Quantité totale mensuelle: 101 Tonnes métrique_x000D_
Siccité moyenne: 22.3 %</t>
  </si>
  <si>
    <t>Déshydratation par centrifugeuse._x000D_
Valorisation par Viridis Environnement Inc._x000D_
Quantité totale mensuelle:  90.9 Tonnes métrique._x000D_
Siccité moyenne:  22.6 %</t>
  </si>
  <si>
    <t xml:space="preserve">Déshydratation par centrifugeuse._x000D_
Valorisation par Viridis Environnement Inc._x000D_
Quantité totale mensuelle: 87,2 Tonnes métrique_x000D_
Siccité moyenne: 23 % </t>
  </si>
  <si>
    <t>Ouvrage municipal d'assainissement des eaux usées de Fassett</t>
  </si>
  <si>
    <t>Fassett</t>
  </si>
  <si>
    <t>Papineau</t>
  </si>
  <si>
    <t>Les deux cellules ont été vider  fait le 27 Octobre 2021  580 Mètres cubes</t>
  </si>
  <si>
    <t>Fait la même journée du 27 Octobre 2021  Siccité environ 2.9%    580 Mètres cubes</t>
  </si>
  <si>
    <t>Boues déshydratées par un pressoir rotatif. 51,0m3 de boues ont été envoyées au LET de Gaspé avec une siccité moyenne de 26,27%.</t>
  </si>
  <si>
    <t>Boues déshydratées par un pressoir rotatif. 46,5m3 de boues ont été envoyées au LET de Gaspé avec une siccité moyenne de 28,25%.</t>
  </si>
  <si>
    <t>Boues déshydratées par un pressoir rotatif. 63,0m3 de boues ont été envoyées au LET de Gaspé avec une siccité moyenne de 26,69%.</t>
  </si>
  <si>
    <t>Boues déshydratées par un pressoir rotatif. 49,0m3 de boues ont été envoyées au LET de Gaspé avec une siccité moyenne de 24,59%.</t>
  </si>
  <si>
    <t>Boues déshydratées par un pressoir rotatif. 63,0m3 de boues ont été envoyées au LET de Gaspé avec une siccité moyenne de 24,18%.</t>
  </si>
  <si>
    <t>Boues déshydratées par un pressoir rotatif. 69,0m3 de boues ont été envoyées au LET de Gaspé avec une siccité moyenne de 24,19%.</t>
  </si>
  <si>
    <t>Boues déshydratées par un pressoir rotatif. 70,5m3 de boues ont été envoyées au LET de Gaspé avec une siccité moyenne de 24,82%.</t>
  </si>
  <si>
    <t>Boues déshydratées par un pressoir rotatif. 66,5m3 de boues ont été envoyées au LET de Gaspé avec une siccité moyenne de 27,90%.</t>
  </si>
  <si>
    <t>Boues déshydratées par un pressoir rotatif. 56,0m3 de boues ont été envoyées au LET de Gaspé avec une siccité moyenne de 27,23%.</t>
  </si>
  <si>
    <t>Boues déshydratées par un pressoir rotatif. 51,0m3 de boues ont été envoyées au LET de Gaspé avec une siccité moyenne de 24,48%.</t>
  </si>
  <si>
    <t>Boues déshydratées par un pressoir rotatif. 66,0m3 de boues ont été envoyées au LET de Gaspé avec une siccité moyenne de 23,31%.</t>
  </si>
  <si>
    <t>Boues déshydratées par un pressoir rotatif. 52,5m3 de boues ont été envoyées au LET de Gaspé avec une siccité moyenne de 25,02%.</t>
  </si>
  <si>
    <t xml:space="preserve">- Déchets retirés par les dégrilleurs : 44  m3. _x000D_
- Sable retiré par le ou les dessableurs :  47.42   tonnes. _x000D_
- Disposition de 1911.93   tonnes de boues à 22.58  % de siccité par Uteau Valorisation. _x000D_
- Disposition de  0  tonnes de granules à 0  % de siccité par Ralph M Lang Custom Inc. Shawville. _x000D_
</t>
  </si>
  <si>
    <t xml:space="preserve">- Déchets retirés par les dégrilleurs : 63  m3. _x000D_
- Sable retiré par le ou les dessableurs :  39.22   tonnes. _x000D_
- Disposition de 1274   tonnes de boues à 23.32  % de siccité par Uteau Valorisation. _x000D_
- Disposition de  0  tonnes de granules à 0  % de siccité par Ralph M Lang Custom Inc. Shawville. Usine de séchage arrêté._x000D_
</t>
  </si>
  <si>
    <t xml:space="preserve">- Déchets retirés par les dégrilleurs :  60 m3. _x000D_
- Sable retiré par le ou les dessableurs :   71.07  tonnes. _x000D_
- Disposition de 212.72  tonnes de boues à 23.21  % de siccité par Uteau Valorisation. _x000D_
- Disposition de  0  tonnes de granules à 0  % de siccité par Ralph M Lang Custom Inc. Shawville. _x000D_
</t>
  </si>
  <si>
    <t xml:space="preserve">- Déchets retirés par les dégrilleurs :  68 m3. _x000D_
- Sable retiré par le ou les dessableurs :   36.65  tonnes. _x000D_
- Disposition de 206.373  tonnes de boues à 24.22  % de siccité par Uteau Valorisation. _x000D_
- Disposition de  0  tonnes de granules à 0  % de siccité par Ralph M Lang Custom Inc. Shawville. _x000D_
</t>
  </si>
  <si>
    <t xml:space="preserve">- Déchets retirés par les dégrilleurs : 42 m3_x000D_
- Sable retiré par le ou les dessableurs : 44.84 tonnes. _x000D_
- Disposition de 285.80 tonnes de boues à 24.51 % de siccité par Uteau Valorisation. _x000D_
- Disposition de 157.75 tonnes de granules à 95.64% par Ralph M Lang Custom Inc. Shawville </t>
  </si>
  <si>
    <t>24,51 % (boues)
95,64 % (granules)</t>
  </si>
  <si>
    <t xml:space="preserve">- Déchets retirés par les dégrilleurs : 65 m3_x000D_
- Sable retiré par le ou les dessableurs : 82.13 tonnes. _x000D_
- Disposition de 138.06 tonnes de boues à 24.12 % de siccité par Uteau Valorisation. _x000D_
- Disposition de 26.42 tonnes de granules à 95.74 % par Ralph M Lang Custom Inc. Shawville </t>
  </si>
  <si>
    <t>24,12 % (boues)
95,74 % (granules)</t>
  </si>
  <si>
    <t xml:space="preserve">- Déchets retirés par les dégrilleurs : 39 m3_x000D_
- Sable retiré par le ou les dessableurs : 52.80 tonnes. _x000D_
- Disposition de 183.113  tonnes de boues à 24.13 % de siccité par Uteau Valorisation. _x000D_
- Disposition de 0 tonnes de granules à 0  % par Ralph M Lang Custom Inc. Shawville </t>
  </si>
  <si>
    <t xml:space="preserve">- Déchets retirés par les dégrilleurs : 33 m3_x000D_
- Sable retiré par le ou les dessableurs : 57.03 tonnes. _x000D_
- Disposition de 199.84 tonnes de boues à 23.96 % de siccité par Uteau Valorisation. _x000D_
- Disposition de 0 tonnes de granules à 0  % par Ralph M Lang Custom Inc. Shawville </t>
  </si>
  <si>
    <t xml:space="preserve">- Déchets retirés par les dégrilleurs : 44 m3_x000D_
- Sable retiré par le ou les dessableurs : 78.07 tonnes. _x000D_
- Disposition de 1414.74  tonnes de boues à 22.91 % de siccité par Uteau Valorisation. _x000D_
- Disposition de 0 tonnes de granules à 0  % par Ralph M Lang Custom Inc. Shawville </t>
  </si>
  <si>
    <t xml:space="preserve">- Déchets retirés par les dégrilleurs : 58 m3_x000D_
- Sable retiré par le ou les dessableurs : 31.26 tonnes. _x000D_
- Disposition de 1334.56  tonnes de boues à 24.62 % de siccité par Uteau Valorisation. _x000D_
- Disposition de 118.74 tonnes de granules à 95.68  % par Ralph M Lang Custom Inc. Shawville </t>
  </si>
  <si>
    <t>24,62 % (boues)
95,68 % (granules)</t>
  </si>
  <si>
    <t xml:space="preserve">- Déchets retirés par les dégrilleurs : 52 m3_x000D_
- Sable retiré par le ou les dessableurs : 34.55 tonnes. _x000D_
- Disposition de 1263.90  tonnes de boues à 25.38 % de siccité par Uteau Valorisation. _x000D_
- Disposition de 187.09 tonnes de granules à 95.91  % par Ralph M Lang Custom Inc. Shawville </t>
  </si>
  <si>
    <t>25,38 % (boues)
95,91 % (granules)</t>
  </si>
  <si>
    <t xml:space="preserve">Les boues sont valorisées aux endroits suivants;   Ferme Félipé / Structure,        Vaillancourt, Mario champ 67 (Dion) et #1 / Structure,        Hafford, Jonathan Ber2 et Juge,     _x000D_
Ferme Mijane s.e.n.c. 7A,      Gagnon, Francois (L'Avenir) 7.           1722.12 TM de boues._x000D_
Siccité des boues pour les jours du moi de janvier;_x000D_
1 	15,05%	2	15,14%	4	14,51%	5	14,76%	6	15,25%	7	15,14%	8	15%	   9	17,13%	11	14,06%	12	15,41%	13	14,84%	14	14,74%      15    14,29%    18	14,93%	19	15,10%	20	14,99%	21	15,08%	22	17% 		25	14,93%	26	14,65%	27	15,06%	28	15%	  29    14%  	30	15,12%_x000D_
	Moyenne mensuelle:    15,05%																					_x000D_
</t>
  </si>
  <si>
    <t xml:space="preserve">Les boues sont valorisées aux endroits suivants;        Roy, Luc champ 6,          Gagnon, François (L'Avenir) 7,         Ferme Desrosiers enr. B1 (ent),          Ferme Dynamique inc. 28,_x000D_
 Antoine Simard-Lebrun B8 (ent),          Ferme Lemay senc. 14(ent),           Ferme Coureurs des bois 12 (ent).           Total de 1830,7 TM._x000D_
1 février	15,09 %	2 février	14,75 %	3 février	15,08 %	4 février	14,98 %	5 février	15,00 %	6 février	15,18 %	8 février	15,73 %	 9 février  15,46 % 10 février 15,15 %11 février  15,42 %	12 février	 16,00 %	13 février   15,26 %	15 février    15,16 %   16 février 15,05 %	  17 février  14,45 %  18 février 15,25 %   19 février 14,00 % 20 février 15,01 %    22 février  15,49 %	23 février	  15,39 %	24 février	  15,56 %	 25 février   15,92 %     26 février  15,00 %	27 février  15,75 %		_x000D_
	Moyenne mensuelle:   15,21 %																						_x000D_
</t>
  </si>
  <si>
    <t xml:space="preserve">Valorisation des boues aux endroits suivants :     Agro MSR inc./ Structure,     Les Entreprises Magnum inc. / Structure,       Vaillancourt, Mario (#1) / Structure,      Ferme Janayo inc 9,_x000D_
Ferme dynamique / Structure,       Ferme Thérox inc. 13E,      Ferme Malory inc. /Structure,           Mine Black Lake (Phase 3) 200 chemin de la mine,          2540.5 TM de boues_x000D_
 1 mars	17,10%	2 mars	18,22%	3 mars	16,46%	4 mars	16,40%	5 mars	15,00%	6 mars	15,55%	8 mars	15,56%	9 mars	16,36%	                          10 mars	15,57%    11 mars	16,40%	12 mars	15,00%	13 mars	16,31%	15 mars	16,67%	16 mars	16,43%  	17 mars	16,27%	18 mars	16,06%	                          19 mars	15,00%    20 mars	15,62%	22 mars	15,89%	23 mars	16,07%	24 mars	16,00%	25 mars	16,12%	26 mars	15,00%	27 mars	17,39%                            		29 mars	17,68%    30 mars	17,66%    31 mars	17,29%	Moyenne mensuelle:    16,27%																						_x000D_
</t>
  </si>
  <si>
    <t xml:space="preserve">Les boues sont valorisées aux endroits suivants :  Mine Black Lake ( Phase 3 ) 200 chemin de la Mine,     Hébert, Francis 2B et 31,        Ferme Lexya et fils inc. Plate-forme,_x000D_
  Gagnon, François ( L'Avenir ) 7,     Ferme des Sites enr. ( SENC ) champ 7 ( ent ),      Ferme Pierann senc 5 ( ent ),       Ferme Dynamique inc. 5._x000D_
TM : 1805,55_x000D_
1 avril	17,58%	2	16,00%	3	16,35%	5	15,88%	6	16,53%	7	16,26%	8	16,31%	9	15,00%	10	15,71%	12	16,01%	13	15,96%	_x000D_
14	16,06%	15	15,72%    16	15,00%	17	16,04%	19	16,38%	20	15,58%	21	15,55%	22	15,81%	23	14,00%	24	15,34%	26	15,94%	_x000D_
27	15,84%     28	15,58%	29	15,81%	30	17,00%_x000D_
		Moyenne mensuelle:					15,89																						_x000D_
_x000D_
</t>
  </si>
  <si>
    <t xml:space="preserve">Les boues sont valorisées aux endroits suivants :   Ferme Dynamique inc. 5,        Ferme Malory inc. / Structure,     Ferme Coureurs des bois 507 ( ent ),      Ferme Thérox inc. 13E,_x000D_
Ferme des sites enr. ( SENC ) champ 7 ( ent ),     Vaillancourt, Mario ( #1 ) / Structure,     Entreprises Fermagri SENC RG1 ( ent )  et 9 ( ent ),    Ferme Milton 112,_x000D_
Élevage des Vallons / Structure._x000D_
TM : 1772.98_x000D_
   1 mai	15,61%	3 mai	15,92%	  4 mai	15,34%	  5 mai	15,65%	  6 mai	15,34%	  7 mai    15,00%	  8 mai	15,31%	10 mai	15,39%	                          _x000D_
 11 mai	15,87%  12 mai	15,37%	13 mai	15,78%	14 mai	14,60%	15 mai	15,22%	17 mai	15,79%	18 mai	15,61%	19 mai	15,37%	                          _x000D_
 20 mai	15,12%  21 mai	15,00%     22 mai	14,51%	24 mai	15,02%	25 mai	14,87%	26 mai	14,92%	27 mai	14,60%	28 mai	14,00%	                          29 mai	14,61%  31 mai	15,34%	_x000D_
Moyenne mensuelle:   15,20%																						_x000D_
_x000D_
_x000D_
_x000D_
</t>
  </si>
  <si>
    <t xml:space="preserve">Les boues sont disposées aux endroits suivants :  Ferme Janayo / Structure,      Ferme Milton E2,      Élevage des Vallons / Structure,    Entreprises Fermagri SENC 9 (ent),_x000D_
Bergeron, Gilles Champs 3A,     Vaillancourt, Mario Fosse #2 / Structure,     Stéphanie Bujold et Pascal Gagnon-Lalonde senc L4,    Breault, Robert 4 Côté maison,     _x000D_
Désorcy, Martin CH1-CH2 (ent),    Ferme Thérox inc. 13E,     Ferme Provençal G3 (ent).          2027,44 TM de boues._x000D_
1 juin	15,29%	2 juin	16,23%	3 juin	15,64%	4 juin	15,00%	5 juin	15,45%	7 juin	15,77%	8 juin	15,52%	9 juin	15,62%	                          _x000D_
10 juin	15,65%    11 juin	16,00%	12 juin	15,44%	14 juin	16,70%	15 juin	17,31%     16 juin	15,99%	17 juin	16,38%	18 juin	17,00%	                           19 juin	17,25%	21 juin	17,40%    22 juin	18,38%	23 juin	17,21%	24 juin	17,35%	25 juin	17,00%	 26 juin	17,84%	28 juin	16,76%	                          _x000D_
29 juin	17,86%	30 juin	14,70%_x000D_
		Moyenne mensuelle:	16,41%																						_x000D_
</t>
  </si>
  <si>
    <t xml:space="preserve">Les boues sont valorisées aux endroits suivants :   Ferme Thérox inc. 13E,         Vaillancourt, Mario Fosse #2 / Structure et #1 / Structure,      Ferme Provençal  G3 (ent),   _x000D_
Ferme Fleurynoise inc. 14,             Ferme des Holstein senc 9 (ent).         1200,61 tonnes métriques de disposées._x000D_
1 juillet	18,23%	2	16,00%	 3	17,27%	 5	15,52%	 6	15,10%	 7	15,16%	 8	16,47%	 9	17,00%	10	16,40%	12	17,79%	13	16,99%	_x000D_
16	15,00%	       17	17,77%	19	18,55%	20	18,70%	21	19,27%	22	19,68%	23	18,00%	24	18,43%	 26	18,53%     27	18,78%	28	18,77%	          29	17,93%	       30	17,00%     31	17,46%	Moyenne mensuelle:  17,43%																						_x000D_
       </t>
  </si>
  <si>
    <t xml:space="preserve">Valorisation des boues_x000D_
lieux: Mario Vaillancourt (#1) Structure, Ferme des Vallons Holstein senc 9 (ent), Ferme D.C.R.  senc 11 (ent) , Gilles Bergeron 8 (ent), Ferme Desrosiers 11 et HDW2 Enr., Ferme Provençal G3 (ent), Ferme Thérox inc. 13E, Robert Breault champ 7 et 5 , Le Refuge du Wapiti Inc. 1, Éric Jacques Champ #101 (ent), Ferme Rédeau et fils senc 17_x000D_
_x000D_
qté en TM :1498.84_x000D_
siccité: 2  18,43   3  17,88   4  17,36   5  17,45    6  16,20   7  15,69    9  17,34   10  16,63   11  17,37   12  16,38   13  15,90   14  16,61   16  17,13   17  16,66   18  17,48   19  16,68	_x000D_
20  16,10   21  16,44   23  16,20   24  15,93  25   17,03  26   15,47   27   15,30  28	  15,60  31  16,05    31  16,42	Moyenne mensuelle: 16,61																						_x000D_
</t>
  </si>
  <si>
    <t xml:space="preserve">Les boues sont valorisées aux endroits suivants ;  Jacques, Éric Champ # 101 (ent), MD4 et Champ GA 10,         Ferme Rémy Fontaine 30 (ent),       Ferme Provençal G3 (ent),_x000D_
Ferme Mijane s.e.n.c. L6,          Ferme Coureurs des bois AC1 (ent) et L05 (ent),         Ferme de la Chute Jean-Marc Roy 3 (ent),      Élevage des Vallons/Structure,   _x000D_
Ferme Thérox inc. 13E,          Ferme Desrosiers Enr. AD02 (ent)             Vaillancourt, Mario (#1)/Structure.                                                                                             1575,81 TM._x000D_
1 septembre	15,76%	2	16,00%	3	15,00%	4	16,00%		6	16,84%	7	16,63%	8	16,13%	9	16,67%	10	14,00%	11	15,87%	13	15,48%	14	15,86%	15	15,27%    16	15,60%	17	14,00%	18	15,45%	20	16,65%	21	15,59%	22	15,37%	23	16,00%	24	14,00%	25	16,56%	27	15,63%	28	15,79%	29	15,90%	30	15,67%_x000D_
Moyenne mensuelle:	15,68%																						_x000D_
</t>
  </si>
  <si>
    <t xml:space="preserve">Les boues sont valorisées aux endroits suivants:_x000D_
Ferme Coureurs des bois L5_x000D_
Ferme Coureurs des bois 507_x000D_
Ferme de la Chute Jean-Marc Roy 3_x000D_
Robert Breault 4 Côté maison_x000D_
Éric Jacques Champ GA10_x000D_
Ferme Coureurs des bois 304_x000D_
Mario Vaillancourt (#1) / Structure_x000D_
Éric Jacques Champ JB15_x000D_
Mario Vaillancourt Fosse #2 / Structure_x000D_
Odevy Fréchette 56_x000D_
Quantité en TM : 1323.82_x000D_
_x000D_
1	13,00%	2	15,26%	4	15,68%	5	15,86%	6	15,55%	7	15,78%	8	16,00%	9	15,54%	11	15,24%	12	13,15%	13	15,67%	14	15,70%	15	16,00%	16	15,82%	18	16,35%	19	15,59%	20	15,40%	21	15,33%	22	15,00%	23	14,95%	25	15,13%	26	15,20%	27	15,28%	28	15,59%	29	15,00%	30	15,25%_x000D_
Moyenne mensuelle:	15,32%																						_x000D_
</t>
  </si>
  <si>
    <t xml:space="preserve">Les boues sont valorisées aux endroits suivants:_x000D_
Mario Vaillancourt Fosse #2 / Structure_x000D_
Odevy Fréchette 56_x000D_
Éric Jacques MD2 (ent)_x000D_
Éric Jacques Champ #101 (ent)_x000D_
Agro MSR inc. / Structure_x000D_
Ferme Janayo / Structure_x000D_
Les Entreprises Magnum inc. / Structure_x000D_
Quantité totale : 1784,82 TM_x000D_
_x000D_
Siccité des boues:_x000D_
1	15,59%	2	15,97%	3	16,15%	4	16,21%	5	15,00%	6	16,28%	8	16,76%	9	16,72%	10	16,16%	11	16,40%	12	16,00%	13	16,23%	15	18,12%	16	15,94%	17	15,41%	18	16,33%	19	16,00%	20	16,31%	22	16,86%	23	16,74%	24	16,50%	25	17,71%	26	16,00%	27	16,22%	30	17,24%_x000D_
Moyenne mensuelle:		16,35%																						_x000D_
</t>
  </si>
  <si>
    <t xml:space="preserve">Les boues sont valorisées aux endroits suivants: Mario Vaillancourt Fosse #2 /Structure , Les Entreprises Magnum inc. /Structure , Ferme Frappier Larochelle inc. /Structure , _x000D_
Mario Vaillancourt (#1) /Structure , Ferme Malory inc. /Structure , Entreprises Fermagri SENC 9 (ent) , Ferme Lemay senc 29 (ent) , et Mario Vaillancourt champ 41._x000D_
Quantité totale : 1811,11 TM_x000D_
Siccité des boues: 1-17,30% , 2-16,00% , 3-16,91% , 4-16,99% , 6-16,46% , 7-16,05% , 8-16,50% , 9-17,00% , 10-16,97%  , 11-17,05% , 13-17,11% , 14-16,16% , 15-15,98% _x000D_
16-16,27% , 17-14,00% , 18-16,38% , 20-16,33% , 21-16,24 % , 22-16,56% , 23-16,28% ,  24-16,00 % , 25-15,79%  , 27-16,11% , 28-16,39% , 29-16,32%  , 30-16,88% , 31-16,00%_x000D_
Moyenne mensuelle: 16,37%_x000D_
_x000D_
</t>
  </si>
  <si>
    <t>Déchets retirés 1 3/4 mètre cubes</t>
  </si>
  <si>
    <t>Déchets retirés 1mètre cube et 3/4</t>
  </si>
  <si>
    <t>Déchets retirés 1 1/2 mètres cubes</t>
  </si>
  <si>
    <t>déchets retirés 2 mètres cubes</t>
  </si>
  <si>
    <t xml:space="preserve">Déchets retirés 2 mètres cubes </t>
  </si>
  <si>
    <t>Déchets retirés 2 mètres cubes et 1/4</t>
  </si>
  <si>
    <t xml:space="preserve">Déchets retirés 4 mètres cubes_x000D_
</t>
  </si>
  <si>
    <t xml:space="preserve">Déchets retirés 2 mètres 3/4 cubes_x000D_
</t>
  </si>
  <si>
    <t>Déchets retirés 2 mètres cubes</t>
  </si>
  <si>
    <t>Déchets retirés 2 mètres cube</t>
  </si>
  <si>
    <t>Déchets retirés 2 mètres cu.</t>
  </si>
  <si>
    <t>Ouvrage municipal d'assainissement des eaux usées de Hérouxville</t>
  </si>
  <si>
    <t>Hérouxville</t>
  </si>
  <si>
    <t xml:space="preserve">Bassin # 1     12 au 17 octobre 2021         Vidange par pompage avec une drague flottante et déshydratation des boues,          59.18 TMS    siccité des boues 13 %_x000D_
_x000D_
</t>
  </si>
  <si>
    <t xml:space="preserve">Les boues on été étendue dans les champs par la même compagnie MCI . </t>
  </si>
  <si>
    <t>La quantité de boues en TMS a été ramemée au % de siccité déclaré.</t>
  </si>
  <si>
    <t>La vidange se fait à partir du bassin accumulateur de boues et le volume est ensuite transféré dans la station daffluent municipale de traitement deaux usées; 4 réacteurs biologiques séquentiels.</t>
  </si>
  <si>
    <t>Évacuées par le traitement des réacteurs biologiques séquentiels; purges et déshydratation.</t>
  </si>
  <si>
    <t xml:space="preserve">26 juillet 2021 : La vidange se fait à partir du bassin d'accumulation de boues et le volume est ensuite transféré dans la station daffluent municipale de traitement deaux usées; 4 réacteurs biologiques séquentiels. </t>
  </si>
  <si>
    <t>Ouvrage municipal d'assainissement des eaux usées de Kiamika</t>
  </si>
  <si>
    <t>Kiamika</t>
  </si>
  <si>
    <t>Vidange des boues de l'étangs #3 le 3 novembre 2021. Abaissement du niveau d'eau, installation de la plaque murale à l'entré du bassin #3 puis transfert d'une partie de l'eau vers le bassin #1. 11 camions vaccum 13600 litres soit 150 m3 de boues liquides, siccité estimé de 3 à 4 % pour 4 à 6 TMS. Il restait 1 cm environ.</t>
  </si>
  <si>
    <t>Boues envoyées à Nominingue au site d'enfouissement de boues septiques.</t>
  </si>
  <si>
    <t>Vidange complète de la fosse septique de 180 m.cu. le 28 septembre._x000D_
Pompage par camion vaccum</t>
  </si>
  <si>
    <t>Les boues sont envoyées au site de Pompage sanitaire Mont-Tremblant à Mont-Tremblant</t>
  </si>
  <si>
    <t xml:space="preserve">Méthode de disposition : Enfouissement Lieu de disposition : L.E.T. de la MRC de Charlevoix-Est Quantité de boues évacuée : environ 109m3 (91.44 tonnes) provenant des bassins 1 et 2 Date d'opération du pressoir : 05-06-11-12-13-17-19-20-25-26-27. Siccité moyenne : 28.04% Bassin de boues 1 et 2._x000D_
</t>
  </si>
  <si>
    <t>Méthode de disposition : Enfouissement Lieu de disposition : L.E.T. de la MRC de Charlevoix-Est Quantité de boues évacuée : environ 88 m3 (54.73 tonnes) provenant des bassins 1 et 2 Date d'opération du pressoir : 1-2-4-8-10-15-18-22-25. Siccité moyenne : 31.123% Bassin de boues 1 et 2.</t>
  </si>
  <si>
    <t>Méthode de disposition : Enfouissement Lieu de disposition : L.E.T. de la MRC de Charlevoix-Est Quantité de boues évacuée : environ 98 m3 (65.38 tonnes) provenant des bassins 1 et 2 Date d'opération du pressoir : 01-03-08-10-15-16-22-25-29-31. Siccité moyenne : 36.6% Bassin de boues 1 et 2.</t>
  </si>
  <si>
    <t>Méthode de disposition : Enfouissement Lieu de disposition : L.E.T. de la MRC de Charlevoix-Est Quantité de boues évacuée : environ 70 m3 (44.87 tonnes) provenant des bassins 1 et 2 Date d'opération du pressoir : 5-8-12-15-19-22-26-29. Siccité moyenne : 37% Bassin de boues 1 et 2.</t>
  </si>
  <si>
    <t>Méthode de disposition : Enfouissement Lieu de disposition : L.E.T. de la MRC de Charlevoix-Est Quantité de boues évacuée : environ 89 m3 (50.9 tonnes) provenant des bassins 1 et 2 Date d'opération du pressoir : 3-6-10-13-17-20-24-27-31 Siccité moyenne : 36.77% Bassin de boues 1 et 2.</t>
  </si>
  <si>
    <t>Méthode de disposition : Enfouissement Lieu de disposition : L.E.T. de la MRC de Charlevoix-Est Quantité de boues évacuée : environ 180 m3 (118.15 tonnes) provenant des bassins 1 et 2 Date d'opération du pressoir : 3-7-10-14-17-21-23-28-30. Siccité moyenne : 36.56% Bassin de boues 1 et 2.</t>
  </si>
  <si>
    <t>Méthode de disposition : Enfouissement Lieu de disposition : L.E.T. de la MRC de Charlevoix-Est Quantité de boues évacuée : environ 78 m3 (51.48 tonnes) provenant des bassins 1 et 2 Date d'opération du pressoir : 5-8-12-15-19-22-26-29. Siccité moyenne : 43.125% Bassin de boues 1 et 2.</t>
  </si>
  <si>
    <t>Méthode de disposition : Enfouissement Lieu de disposition : L.E.T. de la MRC de Charlevoix-Est Quantité de boues évacuée : environ 102 m3 (67.34 tonnes) provenant des bassins 1 et 2 Date d'opération du pressoir : 2-5-9-12-16-19-23-25-26-30. Siccité moyenne : 44.1% Bassin de boues 1 et 2.</t>
  </si>
  <si>
    <t xml:space="preserve">Méthode de disposition : Enfouissement Lieu de disposition : L.E.T. de la MRC de Charlevoix-Est Quantité de boues évacuée : environ 110.24 m3 (63.05 tonnes) provenant des bassins 1 et 2 Date d'opération du pressoir : 2-7-9-13-16-20-23-27-29 Siccité moyenne : 40.00% Bassin de boues 1 et 2. </t>
  </si>
  <si>
    <t>Méthode de disposition : Enfouissement Lieu de disposition : L.E.T. de la MRC de Charlevoix-Est Quantité de boues évacuée : environ 85 m3 (56.85 tonnes) provenant des bassins 1 et 2 Date d'opération du pressoir : 04-07-12-14-18-21-25-26-28. Siccité moyenne : 38.33% Bassin de boues 1 et 2.</t>
  </si>
  <si>
    <t>Méthode de disposition : Enfouissement Lieu de disposition : L.E.T. de la MRC de Charlevoix-Est Quantité de boues évacuée : environ 71.68 m3 (61.04 tonnes) provenant des bassins 1 et 2 Date d'opération du pressoir : 1-4-8-11-15-18-22-25-29. Siccité moyenne : 36% Bassin de boues 1 et 2.</t>
  </si>
  <si>
    <t>Méthode de disposition : Enfouissement Lieu de disposition : L.E.T. de la MRC de Charlevoix-Est Quantité de boues évacuée : environ 72.03 m3 (61.34 tonnes) provenant des bassins 1 et 2 Date d'opération du pressoir : 2-6-9-13-16-20-29-30. Siccité moyenne : 38.33% Bassin de boues 1 et 2.</t>
  </si>
  <si>
    <t>Ouvrage municipal d'assainissement des eaux usées de La Présentation</t>
  </si>
  <si>
    <t>La Présentation</t>
  </si>
  <si>
    <t xml:space="preserve">Échantillonnages de la siccité des étangs avant la vidange_x000D_
	Moyenne des échantillons dans létang #1 : 6.1% _x000D_
	Moyenne des échantillons dans létang #1 : 4.1%_x000D_
_x000D_
Nous avons sorti un total de 156.74TMS_x000D_
	Étang #1 : 82.16TMS_x000D_
	Étang #2 : 74.58TMS_x000D_
	Sac #1 : 64.21TMS_x000D_
	Sac #2 : 52.61TMS_x000D_
	Sac #3 : 39.92TMS_x000D_
</t>
  </si>
  <si>
    <t>Ouvrage municipal d'assainissement des eaux usées de la Régie d'assainissement des Coteaux</t>
  </si>
  <si>
    <t xml:space="preserve">méthode de disposition : revalorisation agricole_x000D_
lieu de disposition : Bonnefield Farm, Hawkesbury, Ontario_x000D_
Quantité de boues évacuée en m³ : 948.55 T.M.S (tonnes de matières sèches)_x000D_
siccité moyenne des boues évacuée en % : 22.8%_x000D_
identification du bassin ou de la cellule : N/A_x000D_
date de début : 19 juillet 2021_x000D_
date de fin de la vidange : 31 juillet 2021_x000D_
méthode utilisée : camion remorque et épandeur au champ_x000D_
_x000D_
</t>
  </si>
  <si>
    <t>Ouvrage municipal d'assainissement des eaux usées de La Tuque</t>
  </si>
  <si>
    <t>La Tuque</t>
  </si>
  <si>
    <t>Début vidange des boues étang 1 le 30 octobre 2021</t>
  </si>
  <si>
    <t>Vidange des boues dans l'étang #1 du 30 octobre au 29 novembre avec dragage._x000D_
Quantité soutirée est 722,22 m3 et la siccité moyenne est de 2,25%.</t>
  </si>
  <si>
    <t>Ouvrage municipal d'assainissement des eaux usées de Lac-Brome (village West-Brome)</t>
  </si>
  <si>
    <t>Lac-Brome</t>
  </si>
  <si>
    <t xml:space="preserve">Vidange par camion vaccum vers le site d'Enviro5 à Roxton le 23 septembre 2021 de 7h à 17h (2 camions). Environ 38 m3 (total de 58 630 KG mesuré à la balance). </t>
  </si>
  <si>
    <t>Ouvrage municipal d'assainissement des eaux usées de Lac-Delage</t>
  </si>
  <si>
    <t>Lac-Delage</t>
  </si>
  <si>
    <t>Disposition fait le 22 juin, rapport à venir.</t>
  </si>
  <si>
    <t>Ouvrage municipal d'assainissement des eaux usées de Lac-des-Aigles</t>
  </si>
  <si>
    <t>Lac-des-Aigles</t>
  </si>
  <si>
    <t xml:space="preserve">des demarche sont entreprisent avec un agrenome  </t>
  </si>
  <si>
    <t>a determiner</t>
  </si>
  <si>
    <t xml:space="preserve">vidange de 145 m3 de boues dans la cellule  4_x000D_
</t>
  </si>
  <si>
    <t xml:space="preserve">ependre les boues dans les  terres en culture sous la supervision d un agrenome_x000D_
</t>
  </si>
  <si>
    <t>Ouvrage municipal d'assainissement des eaux usées de Lac-Édouard</t>
  </si>
  <si>
    <t>Filtres intermittents à recirculation avec textiles</t>
  </si>
  <si>
    <t>Lac-Édouard</t>
  </si>
  <si>
    <t>7 octobre 2021 : Vidange totale des réservoirs du système FIR = 68m³ 7 octobre 2021 : Vidange totale de la fosse septique 2 sections =100m³</t>
  </si>
  <si>
    <t>Étang de compostage avec copeaux de bois de la Ville de LaTuque</t>
  </si>
  <si>
    <t>69,46 tonnes de boues ont été acheminées sur la plateforme de compostage de la Ville de Lac-Mégantic à une siccité de 15,5%.</t>
  </si>
  <si>
    <t>64,01 tonnes de boues ont été acheminées sur la plateforme de compostage de la Ville de Lac-Mégantic à une siccité de 16,1%</t>
  </si>
  <si>
    <t>92.22 tonnes de boues ont été acheminées sur la plateforme de compostage de la Ville de Lac-Mégantic à une siccité de 16.7 %</t>
  </si>
  <si>
    <t>84.02 tonnes de boues ont été acheminées sur la plateforme de compostage de la Ville de Lac-Mégantic. Siccité moyenne des boues : 17 %.</t>
  </si>
  <si>
    <t>74.51 tonnes de boues ont été acheminés à la fermes de Jocelyn Turmel au 1022 2eme rang sud Weedon à une siccité moyenne de 17.6%</t>
  </si>
  <si>
    <t>90,48 t.m. de boues ont été acheminées à la Ferme de Jocelyn Turmel, 1022, 2e Rang Sud, Weedon,._x000D_
Les boues avaient une siccité moyenne de 17%.</t>
  </si>
  <si>
    <t>89,68 t.m. de boues ont été acheminées à la Ferme de Jocelyn Turmel, 1022, 2e Rang Sud, Weedon._x000D_
Les boues avaient une siccité moyenne de 17,48%.</t>
  </si>
  <si>
    <t>84.45 t.m. de boues déshydratées ont été acheminées à la ferme localisée au 140A, Rang 1, St-Ludger._x000D_
Les boues avaient une siccité moyenne de 16.,62%.</t>
  </si>
  <si>
    <t>102,61 t.m. de boues déshydratées ont été acheminées à la ferme localisée au 104A, Rang 1, St-Ludger._x000D_
Les boues avaient une siccité moyenne de 16,32%.</t>
  </si>
  <si>
    <t>Un total de 57,38 t.m. de boues ont été produites dont:_x000D_
-&gt; 29,93 t.m. ont été acheminées à la ferme localisée au 140A, Rang 1, St-Ludger,_x000D_
-&gt; 27,45 t.m. ont été acheminées sur nos plateformes de compostage, à l'Écocentre, 5138 rue Pie XI, Lac-Mégantic_x000D_
Les boues avaient une siccité moyenne de 16,5%.</t>
  </si>
  <si>
    <t>Un total de 88,67 t.m. de boues déshydratées ont été produites et acheminées sur nos plateformes de compostage, à l'Écocentre, 5138 rue Pie XI, Lac-Mégantic._x000D_
Les boues avaient une siccité moyenne de 17,08%.</t>
  </si>
  <si>
    <t>Un total de 79,7 t.m. de boues déshydratées ont été produites et acheminées sur nos plateformes de compostage, à l'Écocentre, 5138 rue Pie XI, Lac-Mégantic._x000D_
Les boues avaient une siccité moyenne de 16,64%.</t>
  </si>
  <si>
    <t>Ouvrage municipal d'assainissement des eaux usées de Lambton</t>
  </si>
  <si>
    <t>Lambton</t>
  </si>
  <si>
    <t>Vidange du 24 août 2021 au 3 septembre 2022. Méthode utlisé: Sac. Siccité moyenne: 2,94%_x000D_
Étang #1: 3457m3, TMS: 97.80_x000D_
Étang #2: 3615m3, TMS: 107_x000D_
Total: 7072m3, TMS: 204.80</t>
  </si>
  <si>
    <t>Disposition des rebuts dans le conteneur a déchets_x000D_
Quantité :1.73 m3</t>
  </si>
  <si>
    <t>Disposition des rebuts dans le conteneur à déchets_x000D_
Quantité : 1.96 m3</t>
  </si>
  <si>
    <t>Disposition des déchets dans le conteneurs à déchets_x000D_
Quantité :2.46 m3</t>
  </si>
  <si>
    <t>Disposition des rebuts dans le conteneur a déchets_x000D_
Quantité : 1.70 m3</t>
  </si>
  <si>
    <t>Disposition des rebuts_x000D_
Quantité :1.88 m3</t>
  </si>
  <si>
    <t>Disposition des rebuts dans le conteneur à déchets_x000D_
Quantité : 2.34 m3</t>
  </si>
  <si>
    <t>Disposition des rebuts dans le conteneur à déchets_x000D_
Quantité : 3.45 m3</t>
  </si>
  <si>
    <t>Disposition des rebuts dans le conteneur à déchet_x000D_
Quantité : 3.42 m3</t>
  </si>
  <si>
    <t>Disposition des déchets dans le conteneur _x000D_
Quantités :2.06 m3</t>
  </si>
  <si>
    <t>Disposition des déchets dans le conteneur _x000D_
Quantité :1.34m3</t>
  </si>
  <si>
    <t>Disposition des rebuts dans le conteneur à déchet_x000D_
Quantité : 0.72 m3</t>
  </si>
  <si>
    <t>Disposition des rebuts dans le conteneur a déchets_x000D_
Quantité : 1,.1 m3</t>
  </si>
  <si>
    <t>Ouvrage municipal d'assainissement des eaux usées de L'Assomption</t>
  </si>
  <si>
    <t>Vidange Boues etangs 2-3 du 19 avril au 20 mai 2021 par barge et deshydratation_x000D_
Étang 2 : 1200 tonnes seches_x000D_
Étang 3 : 900 tonnes seches_x000D_
Total : 2100 tonnes seches_x000D_
Siccité Moyenne : 22%</t>
  </si>
  <si>
    <t>2100 tonnes seches traitées en valorisation champs agricole</t>
  </si>
  <si>
    <t>15 septembre 2021_x000D_
4 400 gallons</t>
  </si>
  <si>
    <t>MRC de la Vallée-de-l'Or</t>
  </si>
  <si>
    <t xml:space="preserve">Enfouissement : BFI Lachenaie 442,2 TM  avec siccité moyenne de 28,1 %	_x000D_
Déchet dégrillée: 14,4 m3_x000D_
             déssablée: 7,2 m3_x000D_
Aide coagulant (AE400) : 975 kg_x000D_
</t>
  </si>
  <si>
    <t xml:space="preserve">Lieu d'élimination pour l'enfouissement : Lachenaie pour 443,4 TM avec siccité moyenne de 27,7%_x000D_
Déchets: dégrillée: 13,8 m3_x000D_
               dessablée: 10,5 m3_x000D_
Aide coagulant: AE440 : 875 kg_x000D_
_x000D_
</t>
  </si>
  <si>
    <t xml:space="preserve">Enfouissement : BFI Lachenaie 548,7 TM  avec siccité moyenne de 30,4 %	_x000D_
Déchet dégrillée: 19,8 m3_x000D_
             déssablée: 21,6 m3_x000D_
Aide coagulant (AE400) : 625 kg_x000D_
</t>
  </si>
  <si>
    <t xml:space="preserve">Enfouissement : BFI Lachenaie 453 TM  avec siccité moyenne de 33,5 %	_x000D_
Déchet dégrillée: 15 m3_x000D_
             déssablée: 13,6 m3_x000D_
Aide coagulant (AE400) : 900 kg_x000D_
</t>
  </si>
  <si>
    <t xml:space="preserve">Enfouissement : BFI Lachenaie 456,9 TM  avec siccité moyenne de 35,3 %	_x000D_
Déchet dégrillée: 15,5 m3_x000D_
             déssablée: 24 m3_x000D_
Aide coagulant (AE400) : 750 kg_x000D_
</t>
  </si>
  <si>
    <t xml:space="preserve">Enfouissement : BFI Lachenaie 515,9 TM  avec siccité moyenne de 34 %	_x000D_
Déchet dégrillée: 25,1 m3_x000D_
             déssablée: 34,4 m3_x000D_
Aide coagulant (AE400) : 675 kg_x000D_
</t>
  </si>
  <si>
    <t xml:space="preserve">Lieu d'élimination pour l'enfouissement : Lachenaie pour 514.6 TM avec siccité moyenne de 34%_x000D_
Déchets: dégrillée: 20.2 m3_x000D_
               dessablée: 20.7 m3_x000D_
Aide coagulant: AE440 : 725 kg_x000D_
</t>
  </si>
  <si>
    <t xml:space="preserve">Enfouissement : BFI Lachenaie 436,4 TM  avec siccité moyenne de 30,9 %	_x000D_
Déchet dégrillée: 19,7 m3_x000D_
             déssablée: 28,8 m3_x000D_
Aide coagulant (AE400) : 725 kg_x000D_
_x000D_
</t>
  </si>
  <si>
    <t xml:space="preserve">Enfouissement : BFI Lachenaie 513,5 TM  avec siccité moyenne de 32,1 %	_x000D_
Déchet dégrillée: 14,1 m3_x000D_
             déssablée: 28,0 m3_x000D_
Aide coagulant (AE400) : 775 kg_x000D_
</t>
  </si>
  <si>
    <t xml:space="preserve">Lieu d'élimination pour l'enfouissement : Lachenaie pour 461,7 TM avec siccité moyenne de 30,5%_x000D_
Déchets: dégrillée: 18.8 m3_x000D_
               dessablée: 23.2 m3_x000D_
Aide coagulant: AE440 : 825 kg_x000D_
</t>
  </si>
  <si>
    <t xml:space="preserve">Enfouissement : BFI Lachenaie 510,7 TM  avec siccité moyenne de 29,5 %	_x000D_
Déchet dégrillée: 13,3 m3_x000D_
             déssablée: 16,8 m3_x000D_
Aide coagulant (AE400) : 875 kg_x000D_
</t>
  </si>
  <si>
    <t xml:space="preserve">Enfouissement : BFI Lachenaie 495,57TM  avec siccité moyenne de 28,9 %	_x000D_
Déchet dégrillée: 18,5 m3_x000D_
             déssablée: 17,8 m3_x000D_
Aide coagulant (AE400) : 700 kg_x000D_
</t>
  </si>
  <si>
    <t xml:space="preserve">Enfouissement : BFI Lachenaie 528,9 TM  avec siccité moyenne de 29,5 %	_x000D_
Déchet dégrillée: 14,44TM_x000D_
             déssablée: 14,40 TM_x000D_
Aide coagulant (AE400) : 2400 kg_x000D_
</t>
  </si>
  <si>
    <t xml:space="preserve">Lieu d'élimination pour l'enfouissement : Lachenaie pour 2017,04 TM avec siccité moyenne de 27,3%_x000D_
Déchets: dégrillée: 13,78 TM_x000D_
               dessablée: 16,13 TM_x000D_
Aide coagulant: AE440 : 2100 kg_x000D_
</t>
  </si>
  <si>
    <t xml:space="preserve">Enfouissement : BFI Lachenaie 1084,9 TM  avec siccité moyenne de 29,3 %	_x000D_
Déchet dégrillée: 21,5 TM_x000D_
             déssablée: 20,4 TM_x000D_
Aide coagulant (AE400) : 3900 kg_x000D_
</t>
  </si>
  <si>
    <t xml:space="preserve">Enfouissement : BFI Lachenaie 507,4 TM  avec siccité moyenne de 29,7 %	_x000D_
Déchet dégrillée: 14,67 TM_x000D_
             déssablée: 14,35 TM_x000D_
Aide coagulant (AE400) : 4350 kg_x000D_
</t>
  </si>
  <si>
    <t xml:space="preserve">Enfouissement : BFI Lachenaie 1 514,7 TM  avec siccité moyenne de 29,7 %	_x000D_
Déchet dégrillée: 13,92 TM_x000D_
             déssablée: 24,8 TM_x000D_
Aide coagulant (AE400) : 3000 kg_x000D_
</t>
  </si>
  <si>
    <t xml:space="preserve">Enfouissement : BFI Lachenaie 2817,9 TM  avec siccité moyenne de 27,8 %	_x000D_
Déchet dégrillée: 22,72 TM_x000D_
             déssablée: 21,18 TM_x000D_
Aide coagulant (AE400) : 1500 kg_x000D_
</t>
  </si>
  <si>
    <t xml:space="preserve">Enfouissement : BFI Lachenaie 2896,9 TM  avec siccité moyenne de 25,7 %	_x000D_
Déchet dégrillée: 29,13TM_x000D_
             déssablée: 19,50TM_x000D_
Aide coagulant (AE400) : 1500 kg_x000D_
</t>
  </si>
  <si>
    <t xml:space="preserve">Enfouissement : BFI Lachenaie 1820,1 TM  avec siccité moyenne de 26,7 %	_x000D_
Déchet dégrillée: 15,47TM_x000D_
             déssablée: 18,41TM_x000D_
Aide coagulant (AE400) : 3000 kg_x000D_
</t>
  </si>
  <si>
    <t xml:space="preserve">Enfouissement : BFI Lachenaie 1126,7 TM  avec siccité moyenne de 27 %	_x000D_
Déchet dégrillée: 8,59 TM_x000D_
             déssablée: 11,22 TM_x000D_
Aide coagulant (AE400) : 1950 kg_x000D_
</t>
  </si>
  <si>
    <t xml:space="preserve">Lieu d'élimination pour l'enfouissement : Lachenaie pour 2122,08 TM avec siccité moyenne de 27,3%_x000D_
Déchets: dégrillée: 21,50 TM_x000D_
               dessablée: 25,62 TM_x000D_
Aide coagulant: AE440 : 1500 kg_x000D_
</t>
  </si>
  <si>
    <t xml:space="preserve">Enfouissement : BFI Lachenaie 603,9 TM  avec siccité moyenne de 28,1 %	_x000D_
Déchet dégrillée: 19,52TM_x000D_
             déssablée: 19,30TM_x000D_
Aide coagulant (AE400) : 2250 kg_x000D_
</t>
  </si>
  <si>
    <t xml:space="preserve">Enfouissement : BFI Lachenaie   1809,71 TM  avec siccité moyenne de 27,9 %	_x000D_
Déchet dégrillée:  22,47 TM_x000D_
             déssablée: 20,53 TM_x000D_
Aide coagulant (AE400) : 3160 kg_x000D_
</t>
  </si>
  <si>
    <t>Enfouissement : BFI Lachenaie 585,6 TM  avec siccité moyenne de 29,3 %	_x000D_
Déchet dégrillée: 4,8 m3_x000D_
             déssablée: 2,3 m3</t>
  </si>
  <si>
    <t xml:space="preserve">Lieu d'élimination pour l'enfouissement : Lachenaie pour 624,1 TM avec siccité moyenne de 28,0%_x000D_
Déchets: dégrillée: 4,4 m3_x000D_
               dessablée: 2,2 m3_x000D_
_x000D_
</t>
  </si>
  <si>
    <t xml:space="preserve">Enfouissement : BFI Lachenaie 749,9 TM  avec siccité moyenne de 30,1 %	_x000D_
Déchet dégrillée: 5,0 m3_x000D_
             déssablée: 3,3 m3_x000D_
</t>
  </si>
  <si>
    <t xml:space="preserve">Enfouissement : BFI Lachenaie 760 TM  avec siccité moyenne de 29,3 %	_x000D_
Déchet dégrillée: 4,9 m3_x000D_
             déssablée: 3,0 m3_x000D_
</t>
  </si>
  <si>
    <t xml:space="preserve">Enfouissement : BFI Lachenaie 763,7 TM  avec siccité moyenne de 28,4 %	_x000D_
Déchet dégrillée: 3,3 m3_x000D_
             déssablée: 1,5 m3_x000D_
</t>
  </si>
  <si>
    <t xml:space="preserve">Enfouissement : BFI Lachenaie 764,2 TM  avec siccité moyenne de 29,8 %	_x000D_
Déchet dégrillée: 3,5 m3_x000D_
             déssablée: 2,5 m3_x000D_
</t>
  </si>
  <si>
    <t xml:space="preserve">Lieu d'élimination pour l'enfouissement : Lachenaie pour 663.6 TM avec siccité moyenne de 30.7 %_x000D_
Déchets: dégrillée: 4.6 m3_x000D_
               dessablée: 3.3 m3_x000D_
</t>
  </si>
  <si>
    <t xml:space="preserve">Enfouissement : BFI Lachenaie 713 TM  avec siccité moyenne de 28,3 %	_x000D_
Déchet dégrillée: 3,5 m3_x000D_
             déssablée: 2,7 m3_x000D_
</t>
  </si>
  <si>
    <t>Enfouissement : BFI Lachenaie 422,3 TM  avec siccité moyenne de 28,1 %	_x000D_
Déchet dégrillée: 3,3 m3_x000D_
             déssablée: 3,2 m3</t>
  </si>
  <si>
    <t xml:space="preserve">Lieu d'élimination pour l'enfouissement : Lachenaie pour 655.4 TM avec siccité moyenne de 29.4%_x000D_
Déchets: dégrillée: 3.8 m3_x000D_
               dessablée: 1.7 m3_x000D_
</t>
  </si>
  <si>
    <t>Enfouissement : BFI Lachenaie 701,1 TM  avec siccité moyenne de 27,3 %	_x000D_
Déchet dégrillée: 4,2 m3_x000D_
             déssablée: 3,5 m3</t>
  </si>
  <si>
    <t>Enfouissement : BFI Lachenaie 819,22 TM  avec siccité moyenne de 25,9 %	_x000D_
Déchet dégrillée: 3,1 m3_x000D_
             déssablée: 4,4 m3</t>
  </si>
  <si>
    <t>Étang #2  , 27-09 au 5-10-2021 ,  98 TMS total , siccité 4% , pompage par draguage dans sac geotube ,stockage sur place.</t>
  </si>
  <si>
    <t xml:space="preserve">1m3 dans un lieu autorisé </t>
  </si>
  <si>
    <t>1m3 dans un site autorisé.</t>
  </si>
  <si>
    <t>1,5 m3 dans un lieux autorisés</t>
  </si>
  <si>
    <t>1,5 m3 dans un lieux autorisé</t>
  </si>
  <si>
    <t>1,6 m3 dans un lieu autorisé</t>
  </si>
  <si>
    <t>0,8 M3</t>
  </si>
  <si>
    <t>0,7 m3 dans un lieux autorisé</t>
  </si>
  <si>
    <t>1 m3</t>
  </si>
  <si>
    <t>0,6 m3</t>
  </si>
  <si>
    <t>1,4 m3</t>
  </si>
  <si>
    <t>Ouvrage municipal d'assainissement des eaux usées de Les Îles-de-la-Madeleine (Fatima)</t>
  </si>
  <si>
    <t>Les Îles-de-la-Madeleine</t>
  </si>
  <si>
    <t>Municipalité Îles-de-la-Madeleine</t>
  </si>
  <si>
    <t xml:space="preserve">bassin1:  début le 19-10-2021 fin le 21-10-2021_x000D_
               travaux effectuer par Terrapure_x000D_
               2322.6 m3 a été soutiré     siccité moyenne de 3.47%_x000D_
_x000D_
bassin2:  début  le 19-10-2021  fin le 21-10-2021 _x000D_
               1443.9 m3 a été soutirée    siccité moyenne de 2,04%_x000D_
_x000D_
bassin3:   début le 25-10-2021  fin le 27-10-2021_x000D_
              1522.58 m3 a été soutirée    siccité moyenne de 2.48%        _x000D_
</t>
  </si>
  <si>
    <t>pour le moment les boues son encore dans les gros sac utilisé lors de extraction.   qui on été installer sur une membrane temporaire installer par  Terra pure donc écoulement retourne au bassin.</t>
  </si>
  <si>
    <t>Nous allons avoir le rapport final en août. le transport s'est fait le 21 juillet.</t>
  </si>
  <si>
    <t>La vidange des  bassins a été effectué 31 octobre et les 1-2-5-7 novembre 2018 et les boues ont été disposé en déshydratation optimal (passive)_x000D_
Une quantité de 93.99 tonne métrique avec une siccité moyenne des boues évacuée est de 24.7%_x000D_
Les boues  ont été envoyées en revalorisation le 22 juillet 2021</t>
  </si>
  <si>
    <t>Entreposage des boues aux champs et valorisation agricole. 596,05 TM à une siccité moyenne de 17,3%. Disposition au besoin chez Englobe (Compost du Québec à St-Henri).</t>
  </si>
  <si>
    <t>Entreposage des boues aux champs et valorisation agricole. 507,72 TM à une siccité moyenne de 18,1 %. Disposition au besoin chez Englobe (Compost du Québec à St-Henri).</t>
  </si>
  <si>
    <t>Entreposage des boues aux champs et valorisation agricole. 603,56 TM à une siccité moyenne de 21,1 %. Disposition au besoin chez Englobe (Compost du Québec à St-Henri).</t>
  </si>
  <si>
    <t>Entreposage des boues aux champs et valorisation agricole. 626,12 TM à une siccité moyenne de 23,6 %. Disposition au besoin chez Englobe (Compost du Québec à St-Henri).</t>
  </si>
  <si>
    <t>Entreposage des boues aux champs et valorisation agricole. 626,12 TM à une siccité moyenne de 20,8  %. Disposition au besoin chez Englobe (Compost du Québec à St-Henri).</t>
  </si>
  <si>
    <t>Entreposage des boues aux champs et valorisation agricole. 591,33 TM à une siccité moyenne de 17,3%. Disposition au besoin chez Englobe (Compost du Québec à St-Henri).</t>
  </si>
  <si>
    <t xml:space="preserve">Entreposage des boues aux champs et valorisation agricole. 673,75 TM à une siccité moyenne de 18,3 %. Disposition au besoin chez Englobe (Compost du Québec à St-Henri)._x000D_
</t>
  </si>
  <si>
    <t xml:space="preserve">Entreposage des boues aux champs et valorisation agricole. 580,01 TM à une siccité moyenne de 17,6 %. Disposition au besoin chez Englobe (Compost du Québec à St-Henri)._x000D_
</t>
  </si>
  <si>
    <t xml:space="preserve">Entreposage des boues aux champs et valorisation agricole. 574,99 TM à une siccité moyenne de 19,7 %. Disposition au besoin chez Englobe (Compost du Québec à St-Henri). </t>
  </si>
  <si>
    <t xml:space="preserve">Entreposage des boues aux champs et valorisation agricole. 475,57 TM à une siccité moyenne de  19,2%. Disposition au besoin chez Englobe (Compost du Québec à St-Henri). </t>
  </si>
  <si>
    <t xml:space="preserve">Entreposage des boues aux champs et valorisation agricole. 511,48 TM à une siccité moyenne de 18,8%. Disposition au besoin chez Englobe (Compost du Québec à St-Henri). </t>
  </si>
  <si>
    <t xml:space="preserve">Entreposage des boues aux champs et valorisation agricole.  546,3TM à une siccité moyenne de 18,8%. Disposition au besoin chez Englobe (Compost du Québec à St-Henri). </t>
  </si>
  <si>
    <t>La vidange de boue s'est effectué dans le bassin #1 du 7 au 15 septembre 2021 _x000D_
la vidange de 505 tonnes métrique a été fait mécaniquement avec une siccité moyenne de 35%</t>
  </si>
  <si>
    <t>La vidange de boue s'est effectué dans le bassin #1 du 7 au 15 septembre 2021 _x000D_
la vidange de 505 tonnes métrique a été fait mécaniquement avec une siccité moyenne de 35%_x000D_
Les boues ont été en valorisation à la ferme:_x000D_
Nicholas Boucher _x000D_
372 rang 1_x000D_
Joly</t>
  </si>
  <si>
    <t xml:space="preserve">Méthode de disposition : épandage _x000D_
Lieu de disposition : Ferme Alco champ 1 Nicholas Boucher 372 rang 1 Joly_x000D_
Quantité de boue évacué : 733.81 TMS _x000D_
Siccité moyenne : 30,05 %_x000D_
Boue du bassin 2A _x000D_
date de début et de fin de la vidange : été 2020_x000D_
Méthode utilisé : Polymère _x000D_
</t>
  </si>
  <si>
    <t xml:space="preserve">-étangs 2 B _x000D_
-début de la  vidange le 18 aout et fin le 27 aout_x000D_
 extraction par barge et utilisation de polymères_x000D_
-extraction de 697,43 TMS / 12642 M3_x000D_
-siccité moyenne de 5,64_x000D_
</t>
  </si>
  <si>
    <t xml:space="preserve">Volume boues : 0.740 m3 _x000D_
Disposées au dépotoir municipal_x000D_
</t>
  </si>
  <si>
    <t>1.450 m3 de boues disposé dans la tranché du dépotoir municipal.</t>
  </si>
  <si>
    <t xml:space="preserve">nous avons disposé 1.480m cube au dépotoir </t>
  </si>
  <si>
    <t>boues distribuer en tranché</t>
  </si>
  <si>
    <t>Disposition des boues comme  d'habitude au dépotoir dans la tranchée 2.7 m cubes</t>
  </si>
  <si>
    <t xml:space="preserve">Nous  effectuons la disposition des boues  dans une tranchée </t>
  </si>
  <si>
    <t>Groupe Richer à Les Coteaux: 112.28 TM à 23% de siccité, envoyé par camion dans une benne.</t>
  </si>
  <si>
    <t>Agrobiosol: 110.67 TM à 23% de siccité. Envoyé dans une benne par camion.</t>
  </si>
  <si>
    <t>Agrobiosol: 114.71 Tones à 24% envoyeé par camion dans une benne.</t>
  </si>
  <si>
    <t>Déshydratation des boues générées au traitement (Boues Primaires et boues biologiques issue des lavages de filtres (4))_x000D_
un total de 80,19 TMH ont été évacuées de la station de traitement en avril 2021. La siccité moyenne de ces boues étaient de 24,2%_x000D_
La disposition finale des boues est gérée par la firme Agrobiosol de Saint-Chrysostome et effectué en épandage agricole.</t>
  </si>
  <si>
    <t>Les boues sont soutirées et déshydratées journalièrement._x000D_
un total de 112.47 TMH ont été évacuée de la station à une siccité moyenne de 24.2%</t>
  </si>
  <si>
    <t>Décantation primaire et boues de lavage des biofiltres-Déshydratation journalière_x000D_
Juin 2021-évacuation de 93,27 TMH à une siccité de +/- 22%</t>
  </si>
  <si>
    <t>Le système d'épuration des eaux usées de l'Ile Perrot génère des boues sur une base quotidienne (Boues primaires et secondaires). La masse de boues évacuée de la station en juillet 2021 est de 117,15 TMH. La siccité moyenne des boues évacuées a été de 23,1%</t>
  </si>
  <si>
    <t>des boues sont soutirées du décanteur primaire et secondaire (eau de lavage des filtres) journalièrement; elles sont épaissies et déshydratées. La siccité moyenne des boues évacuée en aout 2021 a été de 22,6%. _x000D_
La masse de boue évacuée de la station a été de 118.09 TMH. La totalité de ces boues ont été prises en charge par la firme Agrobiosol pour disposition par valorisation agricole.</t>
  </si>
  <si>
    <t>61.81 TM à 24% de siccité moyen ont été envoyé à Coteaux._x000D_
38.23 TM à 24% de siccité moyen ont été géré par Agrobiosol.</t>
  </si>
  <si>
    <t>113 Tonnes métrique à 24% ont été envoyé par camion et géré par agrobiosol.</t>
  </si>
  <si>
    <t>123.12 Tonnes à 23% envoyé dans une benne par camion par Agrobiosol.</t>
  </si>
  <si>
    <t>108 TM à 23% envoyé par camion dans une benne et géré par Agrobiosol.</t>
  </si>
  <si>
    <t>vidange des boues et envoyé a l'usine portage du fort 75560kg</t>
  </si>
  <si>
    <t>cellule 2, 11 nov ,  pomper dans le lit de séchage , 91 m3 , siccité ? 20 %</t>
  </si>
  <si>
    <t>lieu de disposition dans le lit gel dégel ,91 m3 , siccité 20% ? , commencer le 1 sept et terminer le 11 nov , pompage de boues .</t>
  </si>
  <si>
    <t>Lors du mois de janvier 2021, un total de 1 043 991 kg de MS de boues déshydratées d'une siccité moyenne de 25.9% ont été disposées soit environ 444 510 kg de MS par incinération à la station d'épuration et 599 481 kg de MS par épandage par la firme JMV Environnement.</t>
  </si>
  <si>
    <t>Au moment de la transmission de ce rapport mensuel, la quantité de boues disposées pour l'épandage n'était pas disponible. Une quantité totale estimée de 387 356 kg de MS de boues déshydratées, dont la siccité moyenne est de 25.5%, a été incinérée à la station d'épuration lors du mois de février 2021.</t>
  </si>
  <si>
    <t>La quantité de boues destinée au recyclage agricole a été estimée à partir de la quantité mensuelle moyenne produite en 2021 en soustrayant la part acheminée à l'incinération en février.</t>
  </si>
  <si>
    <t xml:space="preserve">Pour le mois de mars 2021, environ 1 020 954 kg de MS de boues déshydratées d'une siccité moyenne de 26.8% ont été disposées soit 586 920 kg de MS par épandage par la firme JMV Environnement et 434 034 kg de MS par incinération à la station d'épuration. </t>
  </si>
  <si>
    <t xml:space="preserve">Lors du mois d'avril 2021, un total d'environ 1 035 911 kg de M.S. de boues déshydratées d'une siccité moyenne de 25.9% ont été disposées soit environ 593 507 kg de MS par incinération à la station d'épuration et environ 442 484 kg de M.S. par épandage via la firme JMV Environnement. </t>
  </si>
  <si>
    <t xml:space="preserve">Lors du mois de mai 2021, environ 1 199 229  kg de MS de boues déshydratées d'une siccité moyenne de 27.6% ont été disposées soit environ 440 844 kg de MS par incinération à la station d'épuration et environ 758 385 kg de MS par épandage par la firme JMV Environnement. </t>
  </si>
  <si>
    <t xml:space="preserve">Lors du mois de juin 2021, un total de 1 252 812 kg de MS de boues déshydratées d'une siccité moyenne de 28.9%  ont été disposées soit 839 457 kg de MS pour épandage par la firme JMV Environnement et 413 355 kg de MS pour incinération à la station d'épuration. </t>
  </si>
  <si>
    <t>Lors du mois de juillet 2021, une quantité approximative de 1 197 974 kg de MS de boues déshydratées d'une siccité moyenne de 28.8% a été disposée soit 744 522 kg de MS pour épandage par la firme JMV Environnement et 453 452 kg de MS pour incinération à la station d'épuration.</t>
  </si>
  <si>
    <t>Lors du mois de Août 2021, 1179991 kg de matière sèche de boue déshydraté d'une siccité moyenne de 28,3% ont été disposé, sois 398194 kg de matière sèche par incinération à la station d'épuration et 781 796kg de matière sèche par épandage.</t>
  </si>
  <si>
    <t>Lors du mois de Septembre 2021, 1037721 kg de matière sèche de boue déshydraté d'une siccité moyenne de 28,4% ont été disposé, sois 355 902 kg de matière sèche par incinération à la station d'épuration et 681 819kg de matière sèche par épandage.</t>
  </si>
  <si>
    <t>Lors du mois de novembre 2021, 1485754 kg de matière sèche de boue déshydratée d'une siccité moyenne de 27,4% ont été disposés sois 786 340 kg de matière sèche par par épandage et 699 414 kg de matière sèche par incinération à la station d'épuration.</t>
  </si>
  <si>
    <t>Lors du mois de décembre 2021, 921866 kg de matière sèche de boue déshydratée d'une siccité moyenne de 27,8% ont été disposés sois 187376 kg de matière sèche par par épandage et 734489 kg de matière sèche par incinération à la station d'épuration.</t>
  </si>
  <si>
    <t>Ouvrage municipal d'assainissement des eaux usées de Lotbinière</t>
  </si>
  <si>
    <t>Identification : Étang #1_x000D_
Date de début : 6 octobre 2021_x000D_
Date de fin : 6 octobre 2021_x000D_
Méthode : Pompage_x000D_
Quantité soutirée : 357 m3_x000D_
Siccité moyenne : 4,04%_x000D_
Identification : Étang #2_x000D_
Date de début : 4 octobre 2021_x000D_
Date de fin : 6 octobre 2021_x000D_
Méthode : Pompage_x000D_
Quantité soutirée : 934 m3_x000D_
Siccité moyenne : 3,66%</t>
  </si>
  <si>
    <t>Méthode : Entreposage temporaire_x000D_
Lieu :_x000D_
- Lot 286 partie, concession de la rivière Bois-Claire, cadastre de la paroisse de Saint-Édouard, Municipalité_x000D_
régionale de comté de Lotbinière_x000D_
- Lot 3 383 164, cadastre du Québec, municipalité de Saint-Apollinaire, Municipalité régionale de comté de_x000D_
Lotbinière_x000D_
- Lot 5 660 438, cadastre du Québec, municipalité dInverness, Municipalité régionale de comté de LÉrable_x000D_
- Lots 4 307 532 et 4 307 570, cadastre du Québec, ville de Princeville, Municipalité régionale de comté de_x000D_
LÉrable_x000D_
- Lots P-763 et P-764, 11e Rang, cadastre du canton dHalifax, municipalité de la paroisse de St-Pierre-_x000D_
Baptiste, Municipalité régionale de comté de LÉrable_x000D_
- Sermaco culture inc, 127, route 263 Nord, Saint-Nrobert-dArthabaska, G0P 1B0_x000D_
- Lot 4 544 674, cadastre du Québec, municipalité de Sacré-Coeur-de-Jésus, Municipalité régionale de comté_x000D_
des Appalaches_x000D_
Quantité évacuée : 1 291 m3_x000D_
Siccité moyenne : 3,84%_x000D_
Identification cellule : Étangs #1 et #2_x000D_
Date de début : 4 octobre 2021_x000D_
Date de fin : 6 octobre 2021_x000D_
Méthode vidange : Pompage</t>
  </si>
  <si>
    <t>Ouvrage municipal d'assainissement des eaux usées de Lyster</t>
  </si>
  <si>
    <t>Lyster</t>
  </si>
  <si>
    <t>Étang #1 : du 23 au 31 août par pompage via une drague munie d'une pompe à succion._x000D_
Qté de 2401.1 m³ avec 3.03% de siccité moyenne</t>
  </si>
  <si>
    <t xml:space="preserve">Voir la description de la vidange des boues ci-haut._x000D_
La disposition a été effectuée et dirigée par transport de camions-citernes à la ferme porcine ALCO inc. sur le rang 1 à St-Janvier de Joly. Les boues liquides (2401,1 m³ à 3,03%) ont été valorisées via épandage sur 15 parcelles de 8 lots._x000D_
_x000D_
</t>
  </si>
  <si>
    <t>Les boues étant liquides, une densité de 1 tonne/m3 a été utilisée pour transposer le volume en tonnage.</t>
  </si>
  <si>
    <t xml:space="preserve">265550 kg de bous à une siccité moyenne de 15.88% ont été valorisé par la firme Viridis. </t>
  </si>
  <si>
    <t>197250 kg total à une siccité moyenne de 16.7% valorisé par la firme Viridis.</t>
  </si>
  <si>
    <t xml:space="preserve">235290 kg à une siccité moyenne de 18.3% valorisé par la firme Viridis. </t>
  </si>
  <si>
    <t xml:space="preserve">250670 KG à une siccité moyenne de 18.6% valorisé par la firme Viridis. </t>
  </si>
  <si>
    <t>346400 kg de boues valorisées à une siccité moyenne de 18% par la firme Viridis.</t>
  </si>
  <si>
    <t xml:space="preserve">300400kg de boues valorisées à une siccité moyenne de 18.6% par la firme Viridis. </t>
  </si>
  <si>
    <t xml:space="preserve">249750 kg de boues valorisées à une siccité moyenne de 17.9% par la firme Viridis. </t>
  </si>
  <si>
    <t xml:space="preserve">243790kg de boues à une siccité moyenne de 17.8% valorisées par la firme Viridis. </t>
  </si>
  <si>
    <t xml:space="preserve">219030 kg de bous à une siccité moyenne de 18.52% à été valorisé par la firme Viridis. </t>
  </si>
  <si>
    <t>228110kg de boues valorisées à une siccité moyenne de 18.3% par la firme Viridis</t>
  </si>
  <si>
    <t xml:space="preserve">218470kg  de boues à une siccité moyenne de 18.1% de valorisées par la firme Viridis. </t>
  </si>
  <si>
    <t>202130kg de boues à une siccité moyenne de 17.8% valorisés par la firme Viridis.</t>
  </si>
  <si>
    <t>Bassin 3 et 4_x000D_
Du 23 au 28 octobre_x000D_
par dragage_x000D_
Bassin 3 :  765 m3 soutiré à une siccité moyenne de 1.3%_x000D_
Bassin 4 :  1708 m3 soutiré à une siccité moyenne de 3.99%</t>
  </si>
  <si>
    <t>On a disposé en valorisation à la ferme R. Bessette SENC/Structure 1673, Rang Kempt St_Alexandre Qc   de 111.14 tonnes métriques de boue déshydratées ayant une siccité moyenne de 16.8 %. On a disposé en enfouissement de 0.6 tonne métrique de déchets de dégrillage   et 2.0 tonnes métriques  de déchets de dessablage . au 25 Rue Gagnon St-Nycéphore.</t>
  </si>
  <si>
    <t xml:space="preserve">On  a disposée  de 84.78 tonnes métriques de boue en valorisation. Le lieu de disposition est La ferme R. Bessette Senc/structure  au 1673 Rang Kempt St-Alexandre QC  j0j 1s0 . _x000D_
La siccité moyenne est de16.74. On a disposé aussi  au 25 Rue Gagnon St-Nycéphore de 1.2 M3  de déchets de dégrillage et 2.6 m3 de déchets de dessablage . </t>
  </si>
  <si>
    <t>On a valorisé la boue déshydraté sur la ferme R. Bessette au 1673 Rang Kempt St-Alexandre Qc  J0J 1S0. On a valorisé 90.55 tonnes métriques de boue ayant une siccité de 17.06 %. On a disposé de 0.9 m3 de déchets de dégrillages et de 1.4 m3 de déchets de dessablages au 25 rue Gagnon St- Nycéphore .</t>
  </si>
  <si>
    <t>On a disposé de 102.86 tonnes métriques de boue déshydratées. La siccité moyenne calculé pour le mois est de 17.2 % . Le site de valorisation de la boue est la ferme R Bessette Senc/Structure  1673 Rangt Kempt St-Alexandre  QC J0J 1S0. On a disposé de1.5 m3 de déchets de dessablage et 0.6 m3 dedéchets de dégrillages au 25 rue Gagnon St-Nycéphore .</t>
  </si>
  <si>
    <t xml:space="preserve">On a disposé de 91.13 tonnes métriques de boue déshydratées  en valorisation, sur la ferme de R. Bessette Senc/Structure 1673 Rang Kempt St Alexandre Qc J0J 1S0 . La siccité moyenne de la boue a été de 17,64% . On a enfoui 0.9 m3 de déchets de dégrillage et 2.1 m3 de déchets de dessablages au 25 rue Gagnon St-Nycéphore . </t>
  </si>
  <si>
    <t xml:space="preserve">Nous avons disposé de 79.08 tonnes métriques de boues, en valorisation sur la ferme R.Bessette Senc/Structure , 1673 Rang Kempt , St-Alexandre  Qc j0j1s0 La siccité moyenne pour le mois est de 17.8% . Nous avons disposé  en enfouissement de 1.2  M3 de déchets de dégrillages  et 1.7 M3 de déchets de dessablages au 25 rue Gagnon St-Nycéphore . </t>
  </si>
  <si>
    <t>Nous avons disposé 102.8 tonnes métriques en valorisation . La siccité moyenne obtenue est de 17.7 %.Nous avons valorisé 39.26 tonnes métriques sur la ferme R. Bessette 1673 Rang Kempt  St-Alexandre , 51.03tonnes métriques sur la ferme D. Choquette champ 16 774 route 133  Henryville et 12.51  tonnes métriques  valorisé sur la ferme de Guido_x000D_
Verhaegen1144 chemin Ashby Nord , Marieville. On a disposée aussi disposé  de 0.9 tonnes métriques de déchets de dégrillages et de 1.8 tonnes métriques de déchets de dessablage au 125 rue Gagnon St_ Nycéphore .</t>
  </si>
  <si>
    <t>On a disposé de 103.75 tonnes métriques de boue en valorisation agricole . On a disposé de 52.37 tonnes champ 16 774 route 133,  Henryville . On a disposé de 51.38 tonnes 1144 chemin Ashby nord Marieville .La siccité moyenne pour le mois est de 17.1 %. On a aussi disposé de 0.9 m3  de déchets de dégrillages et 2.4 m3 de déchets de dessablage au 123 rue Gagnon St-Nycéphore.</t>
  </si>
  <si>
    <t xml:space="preserve">ON a disposé en valorisation agricole 64.8 tonnes métriques de boues,  ayant une siccité moyenne de 17.25 %.       25.58 tonnes valorisées chez Guido Verhaegen au 1144 Chemin Ashby nord Marieville Que j3m 1p2        et 39.22 tonnes chez Daniel Choquette au 774 route 133 Henryville Qc j0j1E0 .     On a disposée en enfouissement de 1.2 m3 de déchets de dégrillages  et 1.9 M3 de déchets de dessablage. </t>
  </si>
  <si>
    <t>On a valorisé 62.84 Tm de boue la siccité moyenne de la boue valorisé est de17.4 % .  La ferme de Verhaegen Guido  123   1144 Chemin Ashby Marieville Que J3M1P2  a reçu 26.01 Tm. La ferme de Daniel Choquette Fosse DM 2 Choquette 2  774 route 133 Henryville QC J0J1E0 a reçu 25.48 TM . La ferme de R. Bessette Senc/Structure   1673 Rang Kempt  St-Alexandre  Qc J0J1S0 a reçu  11.35 Tm . On a disposé 1.0 m3 de déchets de dégrillage et 1.6 m3 de déchets de dessablage au 25 Rue Gagnon St-Nycéphore .</t>
  </si>
  <si>
    <t>On a disposé de 76.16 tonnes métriques de boue en valorisation . La siccité moyenne pour le mois a été de 17.1 % . La boue a été valorisé sur la ferme de R Bessette Senc / Structure , 1673 Rang Kempt, St-Alexandre, QC J0J1S0.   On a disposé en enfouissement de 0.6 M3 de produit de dégrillage et 1.2 m3 de produit de dessablage  au 25 rue Gagnon St-Nycéphore .</t>
  </si>
  <si>
    <t>On a disposé de 77.27 tonne métriques de boues déshydratées ayant une siccité moyenne de 17.54 % et livré à la ferme de R. Bessette / Structure au 1673 Rang Kempt , St-Alexandre Qc J0J1S0 .</t>
  </si>
  <si>
    <t>Ouvrage municipal d'assainissement des eaux usées de Maskinongé</t>
  </si>
  <si>
    <t xml:space="preserve">dans la semaine du 9 septembre 2021 147.22 TMS ont  étés sortie des étangs 1 ét 2 par la compagnie Simetech </t>
  </si>
  <si>
    <t>Ouvrage municipal d'assainissement des eaux usées de Massueville</t>
  </si>
  <si>
    <t>Saint-Aimé</t>
  </si>
  <si>
    <t>Pierre-De Saurel</t>
  </si>
  <si>
    <t>début de la vidange complète et pompage des boues de l'étang #1 le 7 mai 2021 et terminée le 21 mai 2021.(sacs géothermiques)  % MOYEN DE 3,57 et quantité soutirée de 174,86 TMS.</t>
  </si>
  <si>
    <t>début de la vidange de l'étang #4 le 24 mai 2021 et terminée le 4 juin 2021.(sacs géothermique). % moyen de 4.07 et quantité retiré de 120.22 TMS</t>
  </si>
  <si>
    <t>Valorisation de 360 tm de boues transportées à 23.4 % de siccité.</t>
  </si>
  <si>
    <t>Valorisation de 345.7 tm de boues transportées à 21.6% de siccité</t>
  </si>
  <si>
    <t xml:space="preserve">Valorisation de 430 tm de boues transportées à 21.4% de siccité. </t>
  </si>
  <si>
    <t>Valorisation de  509.5 tm de boues transportées à 22.6% de siccité</t>
  </si>
  <si>
    <t>Valorisation de 630.6 tm de boue transportée à 24.8 % de siccité.</t>
  </si>
  <si>
    <t>Valorisation de 604 tm de boues transportées à 23.1 % de siccité</t>
  </si>
  <si>
    <t>Valorisation de 531.5 tm de boue transportée à 23.7% de siccité.</t>
  </si>
  <si>
    <t>Valorisation de 550.4 tm de boue transportée à 26.9 % de siccité</t>
  </si>
  <si>
    <t>Valorisation de 538tm de boue transportée à 28.8 % de siccité</t>
  </si>
  <si>
    <t>Valorisation de 641 tm de boue transportéeà 26.5%</t>
  </si>
  <si>
    <t>Valorisation de 618 tm de boue transportée à 24.7% de siccité.</t>
  </si>
  <si>
    <t>Valorisation de 481 tm de boue transportée à 20.9 % de siccité</t>
  </si>
  <si>
    <t>Ouvrage municipal d'assainissement des eaux usées de Mirabel (Sainte-Marianne)</t>
  </si>
  <si>
    <t>Étangs aérés avec réacteur biologique à garnissage en suspension</t>
  </si>
  <si>
    <t>18 et 19 septembre 2021: Vidange des géotubes de 240.07tms à 30.8%. Disposition sur des terres agricoles.</t>
  </si>
  <si>
    <t>Ouvrage municipal d'assainissement des eaux usées de Mirabel (Saint-Hermas)</t>
  </si>
  <si>
    <t>Cellules #1 et #2. Du 21 au 23 septembre 2021. 1194.10 m3 à 3.46% de siccité. 41.32 TMS</t>
  </si>
  <si>
    <t>Valorisation liquide sur terre agricole. 1194.10 m3 41.32 TMS. Du 21 au 23 septembre 2021</t>
  </si>
  <si>
    <t>Ouvrage municipal d'assainissement des eaux usées de Mirabel (Saint-Janvier)</t>
  </si>
  <si>
    <t>Vidange des étangs #2 et #4. Déshydratation par centrifugeuse. 877.03 TMS à 24.3% de siccité._x000D_
Travaux effectués du 21 août au 7 septembre 2021.</t>
  </si>
  <si>
    <t>877.03 TMS à 24.3% de siccité. Disposé sur des terres agricoles.</t>
  </si>
  <si>
    <t xml:space="preserve">Valorisation agricole des boues municipales. _x000D_
Ferme Robert Raymond : 498 tm à  24 % de siccité moyenne. _x000D_
Mixte des boues de l'étang 2 printemps 2019 ( 2 mai 2019 au 21 juin 2019)  &amp; boue de l'étang 5 (5 septembre 2019 au 8 novembre 2019) méthode utilisé par pompage des boues des étangs aérées vers les lits de séchages._x000D_
</t>
  </si>
  <si>
    <t>Enfouissement de 2520 tonnes métriques de cendres (siccité moyenne environ 63%) au LET de la Ville de Montréal</t>
  </si>
  <si>
    <t>Enfouissement de 2932 tonnes métriques de cendres (siccité environ 66%) au LET de la Ville de Montréal</t>
  </si>
  <si>
    <t>Enfouissement de 4588 tonnes métriques de cendres humides (siccité moyenne environ 67%)</t>
  </si>
  <si>
    <t>Enfouissement de 3710 tonnes métriques de cendres humides (siccité moyenne environ 64%) au LET de la Ville de Montréal et enfouissement d'environ 2 tonnes de granules non conformes (siccité environ 98%) dans un site de disposition externe</t>
  </si>
  <si>
    <t>Enfouissement de 3531 Tonne métriques de cendres humides au LET de la Ville de Montréal (siccité moyenne environ 65%)</t>
  </si>
  <si>
    <t>Enfouissement de 4022 tonnes métriques de cendres humides  (siccité moyenne environ 65%) au LET de la Ville de Montréal._x000D_
Valorisation de 33.15 tonnes de granules de boues séchées (siccité moyenne environ 97%) en épandage agricole</t>
  </si>
  <si>
    <t>97 % (granules)</t>
  </si>
  <si>
    <t>Enfouissement de 3787 tonnes métriques de cendres humides (siccité moyenne environ 64%) au LET de la Ville de Montréal_x000D_
Valorisation de  36.81 tonnes métriques de granules de boues séchées (siccité moyenne environ 95%) pour épandage agricole</t>
  </si>
  <si>
    <t>95 % (granules)</t>
  </si>
  <si>
    <t>Enfouissement de 2345 tonnes métriques de cendres humides (siccité moyenne environ 58 %) au LET de la Ville de Montréal</t>
  </si>
  <si>
    <t>Enfouissement de 830 tonnes métriques de cendres humides (siccité moyenne environ 62 %) au LET de la Ville de Montréal_x000D_
Valorisation de 2562 tonnes métriques de cendres humides (siccité moyenne environ 71 %) en épandage agricole_x000D_
Valorisation de 85.34 tonnes métriques de granules de boues séchées (siccité moyenne environ 96 %) en épandage agricole</t>
  </si>
  <si>
    <t>96 % (granules)</t>
  </si>
  <si>
    <t>Valorisation de 2938 tonnes métriques de cendres humides (siccité moyenne environ 67%) en épandage agricole_x000D_
Valorisation de 35.58 tonnes métriques de granules de boues séchées (siccité moyenne environ97%) en épandage agricole</t>
  </si>
  <si>
    <t>Valorisation de 138,9 tonnes métriques de granules de boues séchées (siccité moyenne environ 97%) en épandage agricole_x000D_
Valorisation de 4623,27 tonnes métriques  de cendres humides (siccité moyenne environ 66%) en épandage agricole</t>
  </si>
  <si>
    <t>Enfouissement de 2597 tonnes métriques de cendres humides (siccité moyenne environ 64 %) au LET de la Ville de Montréal_x000D_
Valorisation de 509 tonnes métriques de cendres humides (siccité moyenne environ 63%) en épandage agricole_x000D_
Valorisation de 20 tonnes métriques de granules de boues séchées (siccité moyenne environ 97%) en épandage agricole</t>
  </si>
  <si>
    <t>22,712 mètres cubes (6 000 gallons) ont été transporté dans la fosse d'entreposage de la Ferme Bessette à Saint-Alexander le 10 mars 2021</t>
  </si>
  <si>
    <t>Vidange de 365 m3 de boues dans la fosse de la ferme Bergeron à St-Alexandre le 10 septembre 2021</t>
  </si>
  <si>
    <t xml:space="preserve">Vidange le 14 décembre de 303 m cube dans la fosse de la ferme G.C.G Goyette SENC </t>
  </si>
  <si>
    <t>69,8 TM de boues déshydratées par un filtre à bandes avec une siccité moyenne de 20,5 %, soit 14,3 TMS, valorisées par la firme Épursol à Mirabel.</t>
  </si>
  <si>
    <t>88,3 TM de boues déshydratées par un filtre à bandes avec une siccité moyenne de 20,5 %, soit 16,3 TMS, valorisées par la firme Épursol à Mirabel.</t>
  </si>
  <si>
    <t>98.0 TM de boues déshydratées par un filtre à bandes avec une siccité moyenne de 17,1 %, soit 16,8 TMS, valorisées par la firme Épursol à Mirabel.</t>
  </si>
  <si>
    <t>108.4 TM de boues déshydratées par un filtre à bandes avec une siccité moyenne de 17,2 %, soit 18.9 TMS, valorisées par la firme Épursol à Mirabel.</t>
  </si>
  <si>
    <t>121.65 TM de boues déshydratées par un filtre à bandes avec une siccité moyenne de 18.8 %, soit 22.8 TMS, valorisées par la firme Viridis à Mirabel.</t>
  </si>
  <si>
    <t>124.01 TM de boues déshydratées par un filtre à bandes avec une siccité moyenne de 18.5 %, soit 23.0 TMS, valorisées par la firme Viridis à Mirabel.</t>
  </si>
  <si>
    <t>115,88 TM de boues déshydratées par un filtre à bandes avec une siccité moyenne de 19,3 %, soit 22,4 TMS, valorisées par la firme Viridis à Mirabel.</t>
  </si>
  <si>
    <t>85,4 TM de boues déshydratées par un filtre à bandes avec une siccité moyenne de 18,1 %, soit 15.5 TMS, valorisées par la firme Viridis à Mirabel.</t>
  </si>
  <si>
    <t>115,9 TM de boues déshydratées par un filtre à bandes avec une siccité moyenne de 16,5 %, soit 19,1 TMS, valorisées par la firme Viridis à Mirabel.</t>
  </si>
  <si>
    <t>107,49 TM de boues déshydratées par un filtre à bandes avec une siccité moyenne de 16,5 %, soit 17,7 TMS, valorisées par la firme Viridis à Mirabel.</t>
  </si>
  <si>
    <t>96,3 TM de boues déshydratées par un filtre à bandes avec une siccité moyenne de 15,5 %, soit 14,9 TMS, valorisées par la firme Viridis à Mirabel.</t>
  </si>
  <si>
    <t>109,0 TM de boues déshydratées par un filtre à bandes avec une siccité moyenne de 16,4 %, soit 17,9 TMS, valorisées par la firme Viridis à Mirabel.</t>
  </si>
  <si>
    <t>Ouvrage municipal d'assainissement des eaux usées de Mont-Tremblant (village)</t>
  </si>
  <si>
    <t xml:space="preserve">La firme Revolution Environmental Solution LP (Terrapure) ont pompé de l'étang 3 (étang final) du 5 au 14 octobre. Ensuite, ils ont pompé l'étangs 2 du 18 octobre au 21 octobre. Les boues ont été déshydratées par centrifugeuse et valorisées à la ferme Lalande de Saint-André-d 'Argenteuil. Total des boues déshydratées de l'étang 3 est de 407,28 TM à 20,68 % de siccité moyenne, soit 88,14 TMS. Total des boues déshydratées de l'étang 2 est de 263,38 TM à 22,87 % de siccité moyenne, soit 60,14 TMS. </t>
  </si>
  <si>
    <t>Ouvrage municipal d'assainissement des eaux usées de Napierville (Saint-Cyprien)</t>
  </si>
  <si>
    <t>Napierville</t>
  </si>
  <si>
    <t>Étang numéro 1 et numéro 2_x000D_
Début le 16 juillet 2021 et fin le 5 aout 2021_x000D_
Draguage et centrifugation_x000D_
Étang numéro 1; 808,74 m3 --Étang numéro 2 :690.25 m3</t>
  </si>
  <si>
    <t xml:space="preserve">Méthode de disposition: Valorisation agricole_x000D_
Lieu de disposition: Les production Malette à Saint Martine et ferme MDMP Dubuc Inc. à Mercier_x000D_
Quantité de l'Étang numéro 1 : 180.65 m3 et Étang numéro 2: 518.80 m3_x000D_
siccité moyenne des boues évacuée en %: Étang numéro 1 : 22.3% - Étang numéro 2 :23.0% -moyenne 22.7%_x000D_
identification du bassin ou de la cellule, :Étang numéro 1 et Étang numéro2_x000D_
Début le 16 juillet 2021 et fin le 5 aout 2021_x000D_
Méthode utilisée.: Draguage et centrifugation_x000D_
</t>
  </si>
  <si>
    <t>Il semble y avoir un erreur dans la quantité de boues issues de l'étang 2  acheminée en valorisation agricole. La quantité prise en compte dans le présent fichier est de 158,8 tonnes (soit 690,25 tonnes x 23 % siccité) au lieu de 518,8 tonnes.</t>
  </si>
  <si>
    <t>Ouvrage municipal d'assainissement des eaux usées de Neuville (place des Islets Ouest)</t>
  </si>
  <si>
    <t>Neuville</t>
  </si>
  <si>
    <t>Pompage de la fosse septique le 27 octobre 2021._x000D_
Déviation de l'affluent de Place des Ilets Ouest vers le poste de pompage SP4._x000D_
Aucun débordement.</t>
  </si>
  <si>
    <t>Les boue ont été envoyer à l'éco centre, site de traitement des eaux usées.</t>
  </si>
  <si>
    <t>Ouvrage municipal d'assainissement des eaux usées de Notre-Dame-de-la-Salette</t>
  </si>
  <si>
    <t>Notre-Dame-de-la-Salette</t>
  </si>
  <si>
    <t xml:space="preserve">les trois cellules du bassin pomper les boues début du pompage lundi le 23 aout fin du pompage mercredi le 25 aout  pompage avec une drag et pompe submersible .   507 mètre cube  soutirée  siccités moyenne 3.8% des boue soutirées </t>
  </si>
  <si>
    <t xml:space="preserve">Entreposage résiduelles fertilisantes ( M R F )  dans un ouvrage de stockage existant ( réservoir circulaire en béton arme sans toiture ) d un volume utile de 3340 mètre cube                     _x000D_
la ferme de l'éclatiere inc 2105 chemin de brown's gore Saint-d'Argenteuil ( Québec ) J0V 1X0_x000D_
Boue évacuée 507 mètre cube Siccité moyenne 3.8%_x000D_
pompage des trois cellule début du pompage lundi 23 aout   fin du pompage mercredi  25 aout  méthode utilisée draguage pompe submersible </t>
  </si>
  <si>
    <t>Les boues ont été évacuées avec un camion vacuum et acheminées au site de la régie interrmunicipale de la région de Thedford. La quantité de boues est de 190.68 m³. La siccité moyenne est de 4%. Les 2 bassins ont été vidangées et on a débuté le 15 mars pour terminé le 19 mars.</t>
  </si>
  <si>
    <t>Les boues ont été considérées comme étant liquides ; une densité de 1 tonne/m3 a été utilisée pour transposer le volume en tonnage. Bien qu'il soit indiqué que les boues aient été acheminées à la Régie intermunicipale de la région de Thetford , le mode de disposition n'est pas connu.</t>
  </si>
  <si>
    <t>La quantité de boues évacuée est de 207 tonnes par un camion vacuum en 2 étapes à cause des 2 bassins et livrées à la R.I.R.T pout traitement. La date de début est le 7 juillet et la fin est le 14 juillet 2021.La siccité est de 5 et 5.1 %.</t>
  </si>
  <si>
    <t>Bien qu'il soit indiqué que les boues aient été acheminées à la Régie intermunicipale de la région de Thetford , le mode de disposition n'est pas connu.</t>
  </si>
  <si>
    <t>La quantité de boues évacuée est de 235.42 tonnes par camion vacuum et expédiée au site de la Régie intermunicipale région Thedford. Début de la vidange du premier bassin le 2 novembre et fin le 12 novembre du deuxième bassin. La siccité moyenne des boues est de 4.8 à 5.8   %</t>
  </si>
  <si>
    <t>Fosse septique compartiment 1 et 2, début : 2021-11-22, fin : 2021-11-22, pompage par camion pompe, 67.5m3, Siccité 3.2%</t>
  </si>
  <si>
    <t>Fosse septique compartiment 1 et 2, début : 2021-11-22, fin : 2021-11-22, pompage par camion pompe, 67.5m3, Siccité 3.2%_x000D_
_x000D_
Fait par Campor inc. Déshydratation des boues sur leur site de Rivière-du-Loup, ensuite envoyé à leur site de compostage pour être revalorisé sur des terres agricoles.</t>
  </si>
  <si>
    <t xml:space="preserve">Ouvrage municipal d'assainissement des eaux usées de Percé </t>
  </si>
  <si>
    <t>Percé</t>
  </si>
  <si>
    <t xml:space="preserve">les boues sont pompées des digesteurs ,ils sont passer pas un filtre a bande avec l'aide de polymère et par la suite elle vont être transporté par un conteneur a Gaspé , La siccité pour la moyenne du mois de juillet du 1 au 31 a été 18.1% et la quantité de boues évacué 40 mètre cube . </t>
  </si>
  <si>
    <t>Les boues ont été considérées comme ayant une densité de 0,8 tonne/m3 pour transposer le volume en tonnage. Bien qu'il soit indiqué que les boues aient été acheminées au site de Gaspé, le mode de disposition n'est pas connu.</t>
  </si>
  <si>
    <t xml:space="preserve">épandage , a Gaspé dans un endroit spécifique pour cela , la quantité de boue évacuée et 40 mètres cubes , la siccité moyenne pour le mois 16 % , les bassin sont ceux des digesteur , la date du début est du 2 /08/2021 au 31/08/2021 et la méthode utilisé est avec un polymères et ensuite passer sur une presse a bande . </t>
  </si>
  <si>
    <t>les boue sont envoyé a Gaspé dans un endroit conçus pour les étendre , la quantité de boue évacuée 26 m3  , la siccité est 15.3 % , elles  ont été pompés du digesteur par une pompe a vise ensuite mélangée avec un polymère et passer dans un filtre a bande 3  , la date de début le 2 septembre au 30 septembre 2021 .</t>
  </si>
  <si>
    <t xml:space="preserve">les boues sont pompée des digesteurs un polymère est ajouté ensuite passée dans une presse a bande tombe dans une vise sans fin et tombe dans un conteneur sortie et amené a gaspé par camion dans un endroit autorisé la quantité de boue évacuée du 1 octobre au 25 octobre 2021 est 25 m 3 et la siccité 15,1 %   </t>
  </si>
  <si>
    <t>Ouvrage municipal d'assainissement des eaux usées de Petit-Saguenay</t>
  </si>
  <si>
    <t>Petit-Saguenay</t>
  </si>
  <si>
    <t>Mesure des boues à l'aide d'u echosondeur numérique (sonar à enregistrement continu) dans les 3 étangs.</t>
  </si>
  <si>
    <t xml:space="preserve">113.98 tonnes de boues disposées pour valorisation aux lieux suivants : Les fermes Lebec, M. Séguin St-Rédempteur champ 1 et 11.22 tonnes de boues mit en fosse chez Legault ( fosse ) Goodmanchester, les boues on été déshydratées par électro-déshydratation avec une siccité moyenne de 23.1%._x000D_
 </t>
  </si>
  <si>
    <t xml:space="preserve">Valorisation agricole @ les fermes Lebec Inc / Structure.  1193 metre cubes a 22.55% de siccitée. Déshydratation par electro-déshydratation. </t>
  </si>
  <si>
    <t>Conversion de volume en tonnage selon le même ratio que le volume et tonnage du mois de mai 2021.</t>
  </si>
  <si>
    <t xml:space="preserve">225.95 tonnes de boues , traitées par électro-déshydratation.  Siccité moyenne de 22.7%.  Lieux de disposition Les fermes Lebec inc./ Structure et Fosse DM Choquette._x000D_
</t>
  </si>
  <si>
    <t xml:space="preserve">Valorisation de 230.6 tonnes métrique à 20% de siccité évacuées à la Fosse DM et aux Fermes Lebec Inc. / Structure </t>
  </si>
  <si>
    <t>Électro-déshydratation. Expédié a la fosse DM Choquette. 1105 M3 (159.2 TMH) @ 20.8 % en provenance de l'épaississeur gravitaire.</t>
  </si>
  <si>
    <t>223.5 Tonnes de boues traitées par électro-déshydratation.  Siccité moyenne de 21.3%.    Lieu de disposition;  Fosse DM Choquette. Henryville.</t>
  </si>
  <si>
    <t xml:space="preserve">196.55 Tonnes de boues traitées par électro-déshydratation. Siccité moyenne de 19.6%. Lieu de disposition: Fosse DM Choquette. </t>
  </si>
  <si>
    <t>Déshydratation des boues épaissies avec méthode d'électro-déshydratation envoyées à la Fausse DM Choquette N°2. 1345 M3 à 22.8%</t>
  </si>
  <si>
    <t>211.92 Tonnes de boues traitées par électro-déshydratation.  Siccité moyenne de 19.3%.  Lieu de disposition:  Fosse D.M. Choquette #2</t>
  </si>
  <si>
    <t>Disposition des boues déshydratées en partie par électro déshydratation et filtre à bandes évacuées par camion-benne aux Fermes Lebec Inc. / Structure 106,91 tonnes et à la Fosse D.M Choquette #2 : 125.27 tonnes. Siccité moyenne des boues : 15,7%</t>
  </si>
  <si>
    <t>Valorisation agricole @ Les fermes Lebec Inc. 221.19 tonnes métriques @ 14.30% de siccité par électro déshydratation et filtre presse.</t>
  </si>
  <si>
    <t>231.64 tonnes de boues traitées par filtre à bandes presseuses.  Siccité moyenne de 13.6%.  Lieux de disposition ; Les fermes Lebec Inc et Ferme R.Bessette SENC.</t>
  </si>
  <si>
    <t>Ouvrage municipal d'assainissement des eaux usées de Piopolis</t>
  </si>
  <si>
    <t>Piopolis</t>
  </si>
  <si>
    <t>vidange complète du réservoir septique  début et fin le 25 octobre 2021. _x000D_
140 mètres cubes ont été vidangés par camion vacuum</t>
  </si>
  <si>
    <t>vidange complète du réservoir septique   140 mètres cubes boues et liquide le 25 octobre 2021. Disposition des boues à l'écocentre de Lac-Mégantic. camion vacuum de sanitaire denis fortier pour la vidange et le transport. Début et fin de la vidange le 25 octobre 2021</t>
  </si>
  <si>
    <t>10 novembre 2021, vidange des boues du bassin de décantation ( déphosphatation ) . _x000D_
                                7 mètres cubes de boues soutirée par camion vacuum.</t>
  </si>
  <si>
    <t>Le 10 novembre 2021,  7 mètres cubes de boues, provenant du bassin de décantation ,ont été disposée à la Régie Intermunicipale de la région de Thetford par camion vacuum.</t>
  </si>
  <si>
    <t>La vidange des boues des bassins 3A et 3B on  été effectué du 31 aout 2020 au 29 septembre 2020 et la déshydratation à été fait par méthode passive , les boues on été emmagasiné dans des géo sac . La disposition des boue à été fait par valorisation agricole du 13 au 22 septembre 2022 . Nous avons disposé de 386.53 tonnes métrique sec avec une siccité moyenne de 18 %. La valorisation agricole à été effectué aux endroits suivent : Ferme Marc André Chaput 649 rang des Cyprès ,Saint-Sylvère . Ferme Michel Goyette 123 11 e rang, Maddington, Qc. Ferme Jacques Gosselin 710 route 265 , Plessisville, Qc. Ferme Fred Jaeggi route Piché &amp; 8 e rang ,Saint Valère, Qc Ferme Cédric Hartmann 2928 8e rang, Saint-Valère, Qc.</t>
  </si>
  <si>
    <t xml:space="preserve">Les boues sont vidangées depuis le bassin 2A et 2B et ont mis dans des géotubes sur le site même depuis début juin. La siccité des boues soutirées tourne autour de 2 % </t>
  </si>
  <si>
    <t xml:space="preserve">Les boues soutirées proviennent des bassin 2A et 2B et ont été déposées dans des géotubes mis en place sur le site même. </t>
  </si>
  <si>
    <t>Les boues sont vidangées depuis le bassin 2A et 2B et ont mis dans des géotubes sur le site même depuis début juin. La siccité des boues soutirées tourne autour de 2 %</t>
  </si>
  <si>
    <t>Les boues soutirées proviennent des bassin 2A et 2B et ont été déposées dans des géotubes mis en place sur le site même.</t>
  </si>
  <si>
    <t>Les boues sont vidangées depuis le bassin 2A et 2B et ont mis dans des géotubes sur le site même depuis début juin. La siccité des boues soutirées tourne autour de 2 %_x000D_
_x000D_
Note : La description doit minimalement comprendre les informations suivantes : identification du bassin ou de la cellule, date de début et de fin de la vidange, méthode utilisée, quantité soutirée en m³ dans le bassin ou la cellule, siccité moyenne des boues soutirées en %.</t>
  </si>
  <si>
    <t>Les boues soutirées proviennent des bassin 2A et 2B et ont été déposées dans des géotubes mis en place sur le site même._x000D_
_x000D_
Note : La description doit minimalement comprendre les informations suivantes : méthode de disposition, lieu de disposition, quantité de boues évacuée en m³, siccité moyenne des boues évacuée en %, identification du bassin ou de la cellule, date de début et de fin de la vidange, méthode utilisée.</t>
  </si>
  <si>
    <t>Les boues sont vidangées depuis le bassin 2A et 2B et ont mis dans des géotubes sur le site même depuis début juin. La siccité des boues soutirées tourne autour de 2 % Note : La description doit minimalement comprendre les informations suivantes : identification du bassin ou de la cellule, date de début et de fin de la vidange, méthode utilisée, quantité soutirée en m³ dans le bassin ou la cellule, siccité moyenne des boues soutirées en %.</t>
  </si>
  <si>
    <t>Les boues soutirées proviennent des bassin 2A et 2B et ont été déposées dans des géotubes mis en place sur le site même. Note : La description doit minimalement comprendre les informations suivantes : méthode de disposition, lieu de disposition, quantité de boues évacuée en m³, siccité moyenne des boues évacuée en %, identification du bassin ou de la cellule, date de début et de fin de la vidange, méthode utilisée.</t>
  </si>
  <si>
    <t>Étang numéro 1_x000D_
1er novembre au 9 novembre 2021_x000D_
Travaux de pompage et déshydratation des boues _x000D_
326.36 TMS_x000D_
34.91 % siccité moyenne</t>
  </si>
  <si>
    <t>Transport et disposition vers des sites autorisés _x000D_
Lieux : Les Fermes Belvache inc., Les Entreprises J. P. Robert inc._x000D_
326.36 TMS_x000D_
34.91 % siccité moyenne_x000D_
Étang numéro 1_x000D_
1er novembre au 9 novembre 2021_x000D_
Travaux de pompage et déshydratation des boues</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</si>
  <si>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42019 m3  _x000D_
Siccité moyenne : 3.22 %_x000D_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</si>
  <si>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39473 m3  _x000D_
Siccité moyenne : 3.27 %_x000D_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</si>
  <si>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46488 m3  _x000D_
Siccité moyenne : 3.74 %_x000D_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</si>
  <si>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44878 m3  _x000D_
Siccité moyenne : 3.58 %_x000D_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</si>
  <si>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46999 m3  _x000D_
Siccité moyenne : 3.76 %_x000D_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</si>
  <si>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45161 m3  _x000D_
Siccité moyenne : 3.82 %_x000D_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</si>
  <si>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45818 m3  _x000D_
Siccité moyenne : 4.07 %_x000D_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</si>
  <si>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40865 m3  _x000D_
Siccité moyenne : 3.92 %_x000D_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</si>
  <si>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36238 m3  _x000D_
Siccité moyenne : 4.55 %_x000D_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</si>
  <si>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39482 m3  _x000D_
Siccité moyenne : 4.35 %_x000D_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</si>
  <si>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41551 m3  _x000D_
Siccité moyenne : 3.85 %_x000D_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</si>
  <si>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42629 m3  _x000D_
Siccité moyenne : 4,02 %_x000D_
N.B. : Cette quantité comprend les boues des stations Est et Ouest combinées_x000D_
</t>
  </si>
  <si>
    <t>Valorisation agricole / JMV Environnement / 410,1 tonnes métriques évacuées / Siccité moyenne de 26,0%</t>
  </si>
  <si>
    <t>VALORISATION AGRICOLE / JMV ENVIRONNEMENT / 407,6 TONNES MÉTRIQUES ÉVACUÉES / SICCITÉ MOYENNE DE 23,8%</t>
  </si>
  <si>
    <t>Valorisation agricole / JMV Environnement / 391,3 tonnes métriques évacuées / Siccité moyenne de 30,3 %</t>
  </si>
  <si>
    <t>Valorisation agricole / JMV Environnement / 273,5 tonnes métriques évacuées / siccité moyenne de 34,97%</t>
  </si>
  <si>
    <t>Valorisation agricole / JMV Environnement / 256,1 tonnes métriques évacuées / siccité moyenne de 34,01%</t>
  </si>
  <si>
    <t>Valorisation agricole / JMV Environnement / 388,5 tonnes métriques évacuées / Siccité moyenne de 35,54%</t>
  </si>
  <si>
    <t>Valorisation agricole / JMV Environnement / 444,2 tonnes métriques évacuées / siccité moyenne de 34,88%</t>
  </si>
  <si>
    <t>Valorisation agricole / JMV Environnement / 385,1 tonnes métriques évacuées / Siccité moyenne de 35,85%</t>
  </si>
  <si>
    <t>Valorisation agricole / JMV Environnement / 397,6 tonnes métriques de biosolides évacués / siccité moyenne de 36,14%</t>
  </si>
  <si>
    <t>Valorisation agricole / JMV Environnement / 391,2 tonnes métriques évacuées / Siccité moyenne de 35,63%</t>
  </si>
  <si>
    <t>Valorisation agricole / JMV Environnement / 395,8 tonnes métriques évacuées / siccité moyenne de 31,6%</t>
  </si>
  <si>
    <t>Valorisation agricole / JMV Environnement / 459,3 tonnes métriques évacuées / Siccité moyenne de 30,26%</t>
  </si>
  <si>
    <t>Ouvrage municipal d'assainissement des eaux usées de Richmond</t>
  </si>
  <si>
    <t>Cleveland</t>
  </si>
  <si>
    <t>vidange du bassin 3 et du bassin 1. C'est la compagnie Terrapure qui c'est occupé du contrat. la vidange c'est fait du 26 août au 11 septembre. C'est à l'aide d'un dragage suivie par la centrifuge des boues. Dans le bassin 3 le quantité enlever est de 275.169 TM (tonne métrique) avec une siccité moyenne de 20.70%. pour le bassin 1 la quantité enlever est de 237.9789 TM avec une siccité moyenne de 35.35 %</t>
  </si>
  <si>
    <t xml:space="preserve">C'est les bassin 1 et3 qui ont été évacuer du 26 aout au 31 aout. C'est la compagnie Terrapure qui c'est occupé de tout. Les lieux sont Paul Bernet  54 Route 243, Saint-félix-de-Kingsey, J0B 2T0 avec 129.98 TM de boues avec siccité de 37.25%. Poirier site, 915 8ieme rang st felix de kinsey avec 76,040 TM de boues et un siccité de 21%. Il y a aussi Pascal Nadeau, st-felix de kinsey  proche 8 e rang et talbot avec 239,249 TM de boues et une siccité de 22 %. Finalement, il y a une autre site de Paul Bernet è St-Félix-de-Kingsey, avec 67,878 TM de boues et une siccité de 33%. Les boues sont étaler dans les champs des personnes mentionner plus haut. Les boues ont été transporter par camion jusqu'au lieux de disposition.  
</t>
  </si>
  <si>
    <t xml:space="preserve">les bassins 1 et 2 on était vidanger du 1 au 12 septembre par la compagnie Terrapure. Ils ont dragué les étang. Le lixiviat a ensuite recu un polymére et une centrifugueuse pour enlever le plus d'eau possible. Le bassin 1 il y a 1030.32 tonne métrique (TM) qui ont été enlever avec une siccité de 35.45%. Pour le bassin 2, il y a 242.60 TM de boues avec une siccité de 28.29%. </t>
  </si>
  <si>
    <t xml:space="preserve">C'est la compagnie Terrapur qui c'est occuper de disposer des boues. Les boues ont été transporter dans des champs è l'aide de camions. Les différent lieux sont; Paul Bernet, 54 Route 243, Saint-félix-de-Kingsey, J0B 2T0 avec 211,980 TM de boues siccité de 36.47 %. JONATHAN SHEMER, SHEBFORT  avec 338,320 TM de boues et une siccité de 43,89%. Paul Bernet  st felix de kinsey avec 383,280 TM de boues et une siccité de 32,79%. Finalement, il y a Pascal  Nadeau st felix de kingsey avec 168,210 TM de boues et une siccité de 31,25% Les dates sont les mêmes que la vidange sois du 1 au 12 septembre
</t>
  </si>
  <si>
    <t>Disposition par valorisation agricole. Quantité de boues évacuées : 739 tonnes. Siccité moyenne des boues évacuées : 38%_x000D_
Boues provenant des étangs 2A et 2B. Vidange réalisée du 11 novembre au 10 décembre 2019 et du 23 avril au 6 mai 2020 par pompage et déhydratation par centrifugeuse.</t>
  </si>
  <si>
    <t xml:space="preserve">_x000D_
</t>
  </si>
  <si>
    <t xml:space="preserve">Valorisation agricole_x000D_
Siccité moyenne:27.4%_x000D_
Quantité:350 tonnes de matières humides_x000D_
Identification de la cellule: étang 1 et 3_x000D_
Date début: 28 septembre 2021_x000D_
Date de fin:28 septembre 2021_x000D_
Méthode: Exploitation agricole_x000D_
_x000D_
_x000D_
</t>
  </si>
  <si>
    <t>Vidange des 20 m3 de boues accumulées dans le bassin P3.  La siccité de ces boues est estimées à 4%.  Les boues ont été pompées par un vacuum truck (Sanivac).</t>
  </si>
  <si>
    <t>Les boues pompées par vacuum truck (Sanivac) ont été acheminées à l'usine d'épuration de Salaberry-de-Valleyfield.</t>
  </si>
  <si>
    <t>La vidange a été faite par vacuum truck le 22 août. Un volume de 1.9 m3 de boue épaisse a été pompé (26.8 % siccité) et volume de 192 m3 d'un mélange d'eaux usées et de boues (2.3 % de siccité).  Le tout a été pompé dans le poste P1, la fosse septique et le bassin de mélange P3.</t>
  </si>
  <si>
    <t>Les boues (1.9 m3 à 26.8 % de siccité) et le mélange eaux usées + boues (192 m3 à 2.3 % de siccité) a été envoyé à l'usine d'épuration de Salaberry-de-Valleyfield.</t>
  </si>
  <si>
    <t>Ouvrage municipal d'assainissement des eaux usées de Rivière-Ouelle</t>
  </si>
  <si>
    <t>Rivière-Ouelle</t>
  </si>
  <si>
    <t>1 novembre 2021 terminé le 1 novembre 2021 Bassin no2, pompage dans le lit de séchage, 760 m3 avec Siccité de 2.2%</t>
  </si>
  <si>
    <t>Ouvrage municipal d'assainissement des eaux usées de Roberval</t>
  </si>
  <si>
    <t>Roberval</t>
  </si>
  <si>
    <t>vidange de l'étang #1 du 12 au 16 septembre 2021, par pompage avec pompe a lisier, d'un volume de 8859.6 M3 de boue avec une moyenne de siccité de 4.92%.</t>
  </si>
  <si>
    <t>Disposition des 8859.6 M3 de boues de l'étang #1 par épandage du 12 au 16 septembre 2021.  Siccité moyenne des boues de 4.92%. L'épandage des boues fut réalisé chez les producteurs suivants : _x000D_
-Daniel Fournier pour un total de 921.4 M3._x000D_
-Luc Morin pour un total de 3347.6 M3._x000D_
-Sylvain Martel pour un total de 937.7 M3._x000D_
-Gilles Pelletier pour un total de 2575.2 M3._x000D_
-Sylvain Phillippe pour un total de 1077.7 M3.</t>
  </si>
  <si>
    <t>Le 19 janvier, nous avons vidé la fosse septique à l'aide d'un camion écureur. Le début et la fin de la vidange ont été effectués le même jour. Nous avons vidangé 6.146 m3 de boue à une siccité moyenne de 3,65 %.</t>
  </si>
  <si>
    <t>Le 19 janvier, nous avons vidangé 6.146 m3 de boue à une siccité moyenne de 3,65% à laide dun camion écureur.  La boue a été acheminée dans le bassin 1 des étangs de Rouyn-Noranda. Le début et la fin de la vidange ont été effectués le même jour.</t>
  </si>
  <si>
    <t>Aucune boue comptabilisée puisque'elles ont été disposées dans l'étang 1.</t>
  </si>
  <si>
    <t xml:space="preserve">Le 14 juin 2021, nous avons vidé la fosse septique à l'aide d'un camion écureur. Le début et la fin de la vidange ont été effectués le même jour. Nous avons vidangé 6.051 m3 de boue._x000D_
</t>
  </si>
  <si>
    <t>Le 14 juin 2021, nous avons vidangé 6.051 m3 de boue à laide dun camion écureur. La boue a été disposé dans l'étang 1 des installations de Rouyn-Noranda. Le début et la fin de la vidange ont été effectués le même jour. L'échantillonnage pour la siccité a été effectué le 14-06-2021, cependant le résultat n'était pas représentatif de la réalité et à donc été exclu.</t>
  </si>
  <si>
    <t xml:space="preserve">Le 26-11-2021, nous avons vidé la fosse septique à l'aide d'un camion écureur. Le début et la fin de la vidange ont été effectués le même jour. Nous avons vidangé 5,666 m3 de boue. En attente du résultat externe de la siccité moyenne, délai involontaire du laboratoire, pénurie de main-duvre. Les boues ont été disposés dans les bassins de la STEP de Rouyn-Noranda._x000D_
</t>
  </si>
  <si>
    <t>Le 26-11-2021, à l'aide d'un camion écureur, nous avons disposé 5,666 m3 de boue dans l'étang 1 de la STEP de Rouyn-Noranda.  La boue provenait de la STEP de l'aéroport. Nous sommes en attente du résultat externe de la siccité moyenne, délai involontaire du laboratoire, pénurie de main-duvre.  Le début et la fin de la disposition ont été effectués le même jour.</t>
  </si>
  <si>
    <t xml:space="preserve">Compostage . Lieu Gazon Savard  _x000D_
Quantité: 941.25 T.M. et siccité de 14.9 %_x000D_
</t>
  </si>
  <si>
    <t>compostage chez sanidro_x000D_
_x000D_
986.77 T.M   siccité 14.6 %</t>
  </si>
  <si>
    <t>compostage chez sanidro 1278 T.M siccité 15.1 %</t>
  </si>
  <si>
    <t xml:space="preserve">Méthode: Compostage et valorisation agricole (agriculteur). Lieu Sanidro et champs agricole. _x000D_
Quantité: 1255 T.M. et siccité de 15.9 %_x000D_
</t>
  </si>
  <si>
    <t xml:space="preserve">Méthode: Compostage et valorisation agricole (agriculteur). Lieu Sanidro et champs agricole. _x000D_
Quantité: 1160.82 T.M. et siccité de 15%_x000D_
</t>
  </si>
  <si>
    <t xml:space="preserve">: Compostage et valorisation agricole (agriculteur). Lieu Sanidro et champs agricole. _x000D_
Quantité: 1290 T.M. et siccité de 15.2%_x000D_
</t>
  </si>
  <si>
    <t xml:space="preserve">Compostage et valorisation agricole (agriculteur). Lieu Sanidro et champs agricole. _x000D_
Quantité: 1038.35 T.M. et siccité de 15 %_x000D_
</t>
  </si>
  <si>
    <t xml:space="preserve">Compostage et valorisation agricole (agriculteur). Lieu Sanidro et champs agricole. _x000D_
Quantité: 1189.63 T.M. et siccité de 14.8%_x000D_
</t>
  </si>
  <si>
    <t xml:space="preserve">Compostage et valorisation agricole (agriculteur). Lieu Sanidro et champs agricole. _x000D_
Quantité: 1110 T.M. et siccité de 14.4%_x000D_
</t>
  </si>
  <si>
    <t xml:space="preserve">Compostage et valorisation agricole (agriculteur). Lieu Sanidro _x000D_
Quantité: 1038 T.M. et siccité de 14.2%_x000D_
</t>
  </si>
  <si>
    <t xml:space="preserve">: Compostage  Lieu Sanidro . _x000D_
Quantité: 972.19 T.M. et siccité de 14.8%_x000D_
</t>
  </si>
  <si>
    <t>Les boues sont acheminer par voyage (N=66 ) vers Valorisation agricole et gazon savard ,volume du mois est  896 m³ ,dune siccité de 13.5 % traiter du lundi au vendredi par trois F A B ,deux dégrémont (à air) et un mabarex (hydraulique) .</t>
  </si>
  <si>
    <t>Les boues ont été considérées comme ayant une densité de 0,8 tonne/m3 pour transposer le volume en tonnage. En raison du manque de précision, le tonnage a été réparti également entre "Épandage agricole" et "Compostage".</t>
  </si>
  <si>
    <t xml:space="preserve">Les boues sont acheminer par voyage (N=66 ) vers Valorisation agricole et gazon savard ,volume du mois est 699 m³ ,dune siccité de 13.9 % traiter du lundi au vendredi par trois F A B ,deux dégrémont (à air) et un mabarex (hydraulique) </t>
  </si>
  <si>
    <t>Les boues sont acheminer par voyage (N=56 ) vers Valorisation agricole et sanidro ,volume du mois est 873m³ ,dune siccité de 14.85 % traiter du lundi au vendredi par trois F A B ,deux dégrémont (à air) et un mabarex (hydraulique) ._x000D_
boues</t>
  </si>
  <si>
    <t>Les boues sont acheminer par voyage (N=66 ) vers Valorisation agricole et Sanidro, volume du mois est 613 m³ ,dune siccité de 15.6 % traiter du lundi au vendredi par trois F A B ,deux dégrémont (à air) et un mabarex (hydraulique) .</t>
  </si>
  <si>
    <t>Les boues sont acheminer par voyage (N=70 ) vers Valorisation agricole et sanidro ,volume du mois est 830 m³ ,dune siccité de 14.7 % traiter du lundi au vendredi par trois F A B ,deux dégrémont (à air) et un mabarex (hydraulique) .</t>
  </si>
  <si>
    <t>Les boues sont acheminer par voyage (N=68 ) vers Valorisation agricole et sanidro ,volume du mois est 861 m³ ,dune siccité de 14.6 % traiter du lundi au vendredi par trois F A B ,deux dégrémont (à air) et un mabarex (hydraulique) .</t>
  </si>
  <si>
    <t>Les boues sont acheminer par voyage (N=60 ) vers Valorisation agricole et sanidro ,volume du mois est 743 m³ ,dune siccité de 14.6 % traiter du lundi au vendredi par trois F A B ,deux dégrémont (à air) et un mabarex (hydraulique) .</t>
  </si>
  <si>
    <t>Les boues sont acheminer par voyage (N=58 ) vers Valorisation agricole et sanidro ,volume du mois est 780m³ ,dune siccité de 15.1 % traiter du lundi au vendredi par trois F A B ,deux dégrémont (à air) et un mabarex (hydraulique) .</t>
  </si>
  <si>
    <t>Les boues sont acheminer par voyage (N=64 ) vers Valorisation agricole et sanidro ,volume du mois est 829m³ ,dune siccité de 15.4 % traiter du lundi au vendredi par trois F A B ,deux dégrémont (à air) et un mabarex (hydraulique) .</t>
  </si>
  <si>
    <t xml:space="preserve">Les boues sont acheminer par voyage (N=61 ) pour l'enfouissement vers Sanidro. Le volume du mois est 799m³ pour une siccité de 15.1 % traiter du lundi au vendredi par trois F A B ,deux dégrémont (à air) et un mabarex (hydraulique) _x000D_
</t>
  </si>
  <si>
    <t>Les boues sont acheminer par voyage (N=68 ) pour l'enfouissement vers Sanidro. Le volume du mois est 854m³ pour une siccité de 14.1 % traiter du lundi au vendredi par trois F A B ,deux dégrémont (à air) et un mabarex (hydraulique)</t>
  </si>
  <si>
    <t>Les boues sont évacuées par camion benne de 13 M3 du lundi au vendredi par un filtre à bandes._x000D_
Elles sont envoyées en valorisation ou au compostage._x000D_
La quantité totale de boues évacuées pour janvier est de 206.5 M3 à une siccité moyenne de 16.2%</t>
  </si>
  <si>
    <t>Les boues sont évacuées par camion benne de 13 M3 du lundi au vendredi par un filtre à bandes. Elles sont envoyées en valorisation ou au compostage. La quantité totale de boues évacuées pour janvier est de 298.13 M3 à une siccité moyenne de 15.55%.</t>
  </si>
  <si>
    <t>les boues sont disposées en valorisations ou au compostage par camion benne de 14 M3 du lundi au vendredi._x000D_
les boues sont déshydratées par un filtre à bande._x000D_
La quantité totale de boue évacuée pour mars 2021 est de 237 M3 à une siccité moyenne de 17.8%</t>
  </si>
  <si>
    <t>les boues sont disposées en valorisation ou au compostage par camion benne de 14 M3 du lundi au vendredi. les boues sont déshydratées par un filtre à bande. La quantité totale de boues évacuées pour mars 2021 est de 155 M3 à une siccité moyenne de 16.1%.</t>
  </si>
  <si>
    <t>Les boues sont disposées en valorisation ou au compostage par camion benne de 14 M3 du lundi au vendredi. les boues sont déshydratées par un filtre à bande. La quantité totale de boues évacuées pour mai 2021 est de 179 M3 à une siccité moyenne de 16.5%.</t>
  </si>
  <si>
    <t>Les boues sont disposées en valorisation ou au compostage par camion benne de 14 M3 du lundi au vendredi. les boues sont déshydratées par un filtre à bande. La quantité totale de boues évacuées pour juin 2021 est de 139 M3 à une siccité moyenne de 16.8%.</t>
  </si>
  <si>
    <t>Les boues sont disposées en valorisation ou au compostage par camion benne de 14 M3 du lundi au vendredi. les boues sont déshydratées par un filtre à bande. La quantité totale de boues évacuées pour juillet 2021 est de 79 M3 à une siccité moyenne de 16.0%.</t>
  </si>
  <si>
    <t>Les boues sont déshydratées par un filtre à bande du lundi au vendredi. Elles sont disposées par camion benne de 14M3 soit en valorisation et ou compostage. _x000D_
La quantité de boues déshydratées pour le mois d'aout est de 117M3 à une siccité de 17.3%</t>
  </si>
  <si>
    <t>Les boues sont déshydratées du lundi au vendredi par un filtre a bande et sont transportées par camion benne de 14M3_x000D_
La quantité total de boues évacuées pour septembre est de 161 M3 à une siccité moyenne de 14.2%</t>
  </si>
  <si>
    <t>Les boues sont déshydratées du lundi au vendredi par un filtre a bande et sont transportées par camion benne de 14M3. La quantité totale de boues évacuées pour novembre est de 98 M3 à une siccité moyenne de 15.1%.</t>
  </si>
  <si>
    <t xml:space="preserve">Les boues sont déshydratées par filtre à bandes du lundi au vendredi et transportées par camion benne de 14 M3 soit en valorisation ou au compostage._x000D_
La quantité de boues évacuées pour décembre est de 120 M3 à une siccité moyenne de 15,6%_x000D_
</t>
  </si>
  <si>
    <t>70240 Kg de boues disposée chez Simtech Environnement inc. avec une siccité moyenne de 10.9%</t>
  </si>
  <si>
    <t>Bien que le mode de disposition ne soit pas précisé, les boues ont été considérées recyclées par Simetech Environnement.</t>
  </si>
  <si>
    <t>70240 kg disposée chez Simetech Environnement avec une siccité moyenne de 9.8 %</t>
  </si>
  <si>
    <t>83160 kg disposée chez Simetech environnement avec une siccité moyenne de 10.6%</t>
  </si>
  <si>
    <t>65460 kg disposé chez Simetech inc. avec une siccité moyenne de 9.1 %</t>
  </si>
  <si>
    <t>50200 Kg disposée chez Simetech Environnement avec une siccité de 9.77%</t>
  </si>
  <si>
    <t>66070 kg disposée chez Simetech Environnement avec une siccité de 10.1%</t>
  </si>
  <si>
    <t>78370 Kg disposée chez Simetech Environnement avec une siccité de 10.63%</t>
  </si>
  <si>
    <t>62060 kg de boues disposée chez Simetech Environnement avec une siccité moyenne de 11.26%</t>
  </si>
  <si>
    <t>42690 kg disposée chez Simetech Environnement avec une siccité moyenne de 10.98 %</t>
  </si>
  <si>
    <t>59510 kg de boues disposée chez Simetech environnement avec une siccité moyenne de 11.79%</t>
  </si>
  <si>
    <t>61170 kg disposée chez Simetech Environnement inc. avec une siccité de 11.4 %</t>
  </si>
  <si>
    <t>65120 kg disposée chez Simetech Environnement avec une siccité de 11.8 %</t>
  </si>
  <si>
    <t>Ouvrage municipal d'assainissement des eaux usées de Saint-Benoît-du-Lac</t>
  </si>
  <si>
    <t>Saint-Benoît-du-Lac</t>
  </si>
  <si>
    <t>Bassin 4. Début 21/11/15 Fin 21/11/18. Géotube. Soutiré 175.6 m3. Siccité 16.1 %.</t>
  </si>
  <si>
    <t>Le 12 janvier, 19.25 m3 de boues ont été pompés par camion vacuum et acheminés au site de disposition de St-Cyrille-de-Wendover.</t>
  </si>
  <si>
    <t>Le 10 Février, 18,55 m3 de boues ont été pompés par camion vacuum et acheminés au site de disposition de St-Cyrille-de-Wendover.</t>
  </si>
  <si>
    <t>Le 12 mars, 18.55 m3 de boues ont été pompés par camion vacuum et acheminés au site de disposition de St-Cyrille-de-Wendover.</t>
  </si>
  <si>
    <t xml:space="preserve">Le 2 Avril, 17.15 m3 de boues ont été pompés par camion vacuum et acheminés au site de disposition de St-Cyrille-de-Wendover._x000D_
Le 22 Avril, 16.52 m3 de boues ont été pompés par camion vacuum et acheminés au site de disposition de St-Cyrille-de-Wendover._x000D_
</t>
  </si>
  <si>
    <t xml:space="preserve">Le 14 Mai, 18.9 m3 de boues ont été pompés par camion vacuum et acheminés au site de disposition de St-Cyrille-de-Wendover._x000D_
</t>
  </si>
  <si>
    <t>Le 7 Juin, 17.8 m3 de boues ont été pompés par camion vacuum et acheminés au site de disposition de St-Cyrille-de-Wendover</t>
  </si>
  <si>
    <t>Le 5 juillet, 21.98 m3 de boues ont été pompés par camion vacuum et acheminés au site de disposition de St-Cyrille-de-Wendover_x000D_
Le 26 juillet,  18.55 m3 de boues ont été pompés par camion vacuum et acheminés au site de disposition de St-Cyrille-de-Wendover</t>
  </si>
  <si>
    <t>le volume na pas était communiqué</t>
  </si>
  <si>
    <t>Le 13 Octobre, 18,60 m3 de boues ont été pompés par camion vacuum et acheminés au site de disposition de St-Cyrille-de-Wendover.</t>
  </si>
  <si>
    <t>Le 4 Novembre, 16.80 m3 de boues ont été pompés par camion vacuum et acheminés au site de disposition de St-Cyrille-de-Wendover</t>
  </si>
  <si>
    <t>Boues pompées liquides directement dans des citernes et dirigées vers le champs pour valorisation. 467,4 m3 de boues évacuées le 17 mai 2021. Siccité moyenne 2,5%</t>
  </si>
  <si>
    <t>50  lts</t>
  </si>
  <si>
    <t>45 lts</t>
  </si>
  <si>
    <t>Ouvrage municipal d'assainissement des eaux usées de Saint-Chrysostome</t>
  </si>
  <si>
    <t>Saint-Chrysostome</t>
  </si>
  <si>
    <t>Les informations seront fournies dans un rapport subséquent</t>
  </si>
  <si>
    <t>Les détails seront fournis ultérieurement</t>
  </si>
  <si>
    <t xml:space="preserve">Bassin 1_x000D_
Date: 2021-05-23 au 2021-05-29_x000D_
Méthode: Dragage avec Dino_x000D_
Quantité: 1402m3_x000D_
Siccité moyenne: 8.7%_x000D_
_x000D_
Bassin 2_x000D_
Date: 2021-05-31 au 2021-06-03_x000D_
Méthode: Dragage avec Dino_x000D_
Quantité: 1413m3_x000D_
Siccité moyenne: 7.7%_x000D_
_x000D_
Bassin 3_x000D_
Date: 2021-06-04 au 2021-06-04_x000D_
Méthode: Dragage avec Dino_x000D_
Quantité: 391m3_x000D_
Siccité moyenne: 7.4%_x000D_
</t>
  </si>
  <si>
    <t xml:space="preserve">-Vidange de boue par pompage par camion vacuum par la firme Beauregard._x000D_
-Vidange de la fosse à boue, fosse septique, des bassins sous les biodisque, du décanteurs et une partie du bassins tampons._x000D_
-Siccité des boues: 3.3%_x000D_
-Volume total: 28.77mètre cube_x000D_
</t>
  </si>
  <si>
    <t>Volume disposé: 28.77mètre cube_x000D_
-Lieu: À venir_x000D_
-Siccité des boues: 3.3%</t>
  </si>
  <si>
    <t>Vidange des boues de l'épaississeur vers le lit de séchage. Volume estimé à 59 m3. Siccité non-disponible.</t>
  </si>
  <si>
    <t>Vidange  des boues de l'épaississeur vers le lit de séchage. Volume estimé à 23 m3. Siccité non-disponible</t>
  </si>
  <si>
    <t>03 septembre 2021 (30 minutes) : Vidange de 40.8 m3 de boues du bassin de stockage vers le lit de séchages à l'aide des pompes d'affluent de la station. Siccité n/d._x000D_
16 septembre 2021 (48 minutes): Vidange de 82.8. m3 de boues du bassin de stockage vers le lit de séchages à l'aide des pompes d'affluent de la station. Siccité n/d._x000D_
27 septembre 2021 (1h30 minutes): Vidange de 172.24 m3 de boues du bassin de stockage vers le lit de séchages à l'aide des pompes d'affluent de la station. Siccité n/d.</t>
  </si>
  <si>
    <t>06 octobre 2021 (30 minutes) : Vidange de 51 m3 de boues du bassin de stockage vers le lit de séchages à l'aide des pompes d'affluent de la station. Siccité n/d._x000D_
13 octobre 2021 (33 minutes): Vidange de 55 m3 de boues du bassin de stockage vers le lit de séchages à l'aide des pompes d'affluent de la station. Siccité n/d. _x000D_
27 octobre 2021 (1h00 ): Vidange de 115 m3 de boues du bassin de stockage vers le lit de séchages à l'aide des pompes d'affluent de la station. Siccité n/d.</t>
  </si>
  <si>
    <t>Valorisation agricole, 745 rue St-Louis, St-Cyrille de Wendover, 26,39 tonnes métriques, _x000D_
siccité moyenne de 24,3% (boue biologique et septique), _x000D_
pressoir rotatif Fournier, 1er janvier au 31 janvier 2021, par camion dompeur.</t>
  </si>
  <si>
    <t>Valorisation agricole, 745 rue St-Louis, St-Cyrille de Wendover, 33.06 tonnes métriques, _x000D_
siccité moyenne de 27.2% (boue biologique et septique), _x000D_
pressoir rotatif Fournier, 1er fév. au 28 fév. 2021, par camion dompeur.</t>
  </si>
  <si>
    <t>Valorisation agricole, 745 rue St-Louis, St-Cyrille de Wendover, 43,91 tonnes métriques, _x000D_
siccité moyenne de 27,1% (boue biologique et septique), _x000D_
pressoir rotatif Fournier, 1er mars. au 31 mars 2021, par camion dompeur.</t>
  </si>
  <si>
    <t>Valorisation agricole, 745 rue St-Louis, St-Cyrille de Wendover, 51,57 tonnes métriques, _x000D_
siccité moyenne de 31.2% (boue biologique et septique), _x000D_
pressoir rotatif Fournier, 1er avril au 30 avril 2021, par camion dompeur.</t>
  </si>
  <si>
    <t>Valorisation agricole, 745 rue St-Louis, St-Cyrille de Wendover, 36,42 tonnes métriques, _x000D_
siccité moyenne de 34.6% (boue biologique et septique), _x000D_
pressoir rotatif Fournier, 1er mai au 31 mai 2021, par camion dompeur.</t>
  </si>
  <si>
    <t>Valorisation agricole, 745 rue St-Louis, St-Cyrille de Wendover, 54.08 tonnes métriques, _x000D_
siccité moyenne de 24,0% (boue biologique et septique), _x000D_
pressoir rotatif Fournier, 1er juin au 30 juin 2021, par camion dompeur.</t>
  </si>
  <si>
    <t>Valorisation agricole, 745 rue St-Louis, St-Cyrille de Wendover, 48,25 tonnes métriques, _x000D_
siccité moyenne de 25,4% (boue biologique et septique), _x000D_
pressoir rotatif Fournier, 1er juillet au 31 juillet 2021, par camion dompeur.</t>
  </si>
  <si>
    <t>Valorisation agricole, 745 rue St-Louis, St-Cyrille de Wendover, 53,79 tonnes métriques, _x000D_
siccité moyenne de 26.6% (boue biologique et septique), _x000D_
pressoir rotatif Fournier, 1er août au 31 août 2021, par camion dompeur.</t>
  </si>
  <si>
    <t>Valorisation agricole, 745 rue St-Louis, St-Cyrille de Wendover, 75.09 tonnes métriques, _x000D_
siccité moyenne de 27.7% (boue biologique et septique), _x000D_
pressoir rotatif Fournier, 1er sept. au 30 sept. 2021, par camion dompeur.</t>
  </si>
  <si>
    <t>Valorisation agricole, 745 rue St-Louis, St-Cyrille de Wendover, 114.22 tonnes métriques, _x000D_
siccité moyenne de 32.2% (boue biologique et septique), _x000D_
pressoir rotatif Fournier, 1er oct. au 31 oct. 2021 par camion dompeur.</t>
  </si>
  <si>
    <t>Valorisation agricole, 745 rue St-Louis, St-Cyrille de Wendover, 94,09 tonnes métriques, _x000D_
siccité moyenne de 28,5% (boue biologique et septique), _x000D_
pressoir rotatif Fournier, 1er nov. au 31 nov. 2021, par camion dompeur.</t>
  </si>
  <si>
    <t>Valorisation agricole, 745 rue St-Louis, St-Cyrille de Wendover, 30.58 tonnes métriques, _x000D_
siccité moyenne de 21,1% (boue biologique et septique), _x000D_
pressoir rotatif Fournier, 1er déc. au 31 déc. 2021, par camion dompeur.</t>
  </si>
  <si>
    <t>Ouvrage municipal d'assainissement des eaux usées de Saint-Damase</t>
  </si>
  <si>
    <t>Saint-Damase</t>
  </si>
  <si>
    <t>La vidange de l'étangs 1 a été effectuée. Le niveau d'eau a été abaissé afin de pouvoir curer les boues à l'aide d'une pelle mécanique. La quantité n'est pas connue mais sera mesurée lorsque les lits de séchage seront vidangé.</t>
  </si>
  <si>
    <t>Les boues curées ont été disposées dans les 2 lits de séchage sur le site des étangs aérés</t>
  </si>
  <si>
    <t>Curage de l'étangs 1. Évacuation d'environ 1000 tonnes de boue humide</t>
  </si>
  <si>
    <t>Les boues ont été disposées dans les lits de séchage de la station d'épuration de St-Damase</t>
  </si>
  <si>
    <t xml:space="preserve">Ouvrage municipal d'assainissement des eaux usées de Saint-David-de-Falardeau </t>
  </si>
  <si>
    <t>Saint-David-de-Falardeau</t>
  </si>
  <si>
    <t>Vidange du bassin #2 le 16-17 et 18 août 2021.  Soutirage par pompage avec une pompe agricole et transport en camion citerne.  Approximativement 1515 m3 ont été soutirés du bassin.  Siccité inconnue.</t>
  </si>
  <si>
    <t xml:space="preserve">Disposition à la ferme du ruisseau creux.  Travaux supervisés par "Les Produits B.C.C. inc.".  1515 m3 évacués.  Siccité inconnue.  Bassin #2.  Vidé le 16-17 et 18 août 2021.  Soutirage par une pompe agricole.   Disposition au champ avec des citernes agricoles. </t>
  </si>
  <si>
    <t>Ouvrage municipal d'assainissement des eaux usées de Saint-David-de-Falardeau (Valinouët)</t>
  </si>
  <si>
    <t>Vidange effectuée le 19 août 2021 pour l'étang #2.  Après abaissement des eaux, soutirage par une pompe agricole, transport dans des camions citernes et étandage dans le champ de la Ferme du Ruisseau Creux par des citernes agricoles.  Quantité de boue : 420 m3.  Siccité inconnue.</t>
  </si>
  <si>
    <t xml:space="preserve">Ouvrage municipal d'assainissement des eaux usées de Saint-Denis-de-Brompton (Brompton) </t>
  </si>
  <si>
    <t>Saint-Denis-de-Brompton</t>
  </si>
  <si>
    <t>Nous avons soutiré par draguage de la cellule #2 vers les géomembranes sur le site de la station d'épuration. Le 22 octobre 14,3 TMS à environ 2% de siccités. Le 23 octobre 3,5 TMS à environ 2% de siccités. Le 26 octobre 3,7 TMS à environ 2,2% Total soutirés en octobre de 21,5 TMS.</t>
  </si>
  <si>
    <t>Nous avons disposé de 17.48 TMS à 39% de siccité de notre géomembrane entreposé sur le site de la station d'épuration . Les boues on été transporté pour valorisation à la ferme Gilles Daviau situé au 1336 rang Petit St-Valérien dans le champ 1 .</t>
  </si>
  <si>
    <t>Soutirage par draguage de la cellule #3 vers la géomembrane sur le site de la station d'épuration. Le 26 novembre 7,43 m3 à 2,67% de siccitée soit 0,20 TMS. Le 27 novembre 137,62 m3 à 2,4% de siccitée soit 3,23 TMS.</t>
  </si>
  <si>
    <t>Ouvrage municipal d'assainissement des eaux usées de Saint-Denis-de-Brompton (Village)</t>
  </si>
  <si>
    <t>Étang #1, du 25 au 28 inclusivement, draguage avec étang en fonction vers centrifugeuse, (56.08 TMS),_x000D_
Étang #2, du 23 au 25 inclusivement et du 28 au 29 inclusivement, draguage avec étang en fonction vers centrifugeuse, (47,42 TMS),</t>
  </si>
  <si>
    <t>Recyclage agricole de biosolides. Ferme Gilles Daviau inc. Parcelle 1,2 et 3 du lot 4828746, Parcelle 4 du lot 4828745, Parcelle 10 du lot 3556688, Parcelle 11 du lot 3556585, Parcelle 12, 13 et 14 du lot 3556573, Parcelle 16 du lot 4828746, Parcelle DA1 du lot 3555243, Parcelle DA2 du lot 3877432, Parcelle DA3 du lot 4538046, Parcelle DA4 du lot 3555410, Parcelle DA10 et DA11 du lot 3556687 à Saint-Valérien-de-Milton pour un total de 47.99 TMS à une siccité moyenne de 21.5%. Boues soutirées des étangs #1 et #2 du 23 au 26 juin 2021 par draguage et centrifuge.
Recyclage agricole de biosolides, Les Entreprises Guilmain et fils inc. Parcelle A des lots 1841004 et 1839471, Parcelle C des lots 1839495 et 1841005, Parcelle E du lot 1840659, Parcelle D du lot 1839521, Parcelle E du lot 1840659, Parcelle B du lot 1839471, Parcelle F du lot 1841004 à Saint-Hyacinthe pour un total de 55.5 TMS à une siccité moyenne de 26.1%. Boues soutirées des étangs #1 et #2 du 25 au 29 juin 2021 par draguage et centrifuge.</t>
  </si>
  <si>
    <t>Vidange de 11.4 m3 par vaccum bassin des boues . siccité de 3%, 13 juillet</t>
  </si>
  <si>
    <t>Date de début:  4 octobre 2021 et fin le 4 octobre 2021_x000D_
Fausse septique primaire_x000D_
Méthode utilisée Camion de pompage_x000D_
4158 litres soutirées</t>
  </si>
  <si>
    <t>Ouvrage municipal d'assainissement des eaux usées de Saint-Donat (Bas-Saint-Laurent)</t>
  </si>
  <si>
    <t>La Mitis</t>
  </si>
  <si>
    <t>La vidange des boues a été faite dans le BASSIN 3 par un camion vacuum. L'opération à durée 8h. , 168 810 kg ont été pompé. La siccité des boues n'a pas été mesurée.</t>
  </si>
  <si>
    <t>Les boues sous tirée ont été apporté au centre de traitement du Bas-St-Laurent (St-Anaclet) pour traitement.</t>
  </si>
  <si>
    <t xml:space="preserve">Le 26 mai 2021 : Nous avons vidangé les boues à l'aide d'un camion vacuum d'une capacité de 30 mètres cube. La totalité du volume des deux sections de la fosse de rétention des boues ( 84.42 mètres cube) à été vidangé et acheminé vers le système d'épuration par étang non aéré facultatif de la municipalité de Saint-Donat 62060-1. Comme la capacité du camion vacuum est de 30 mètres cube; nous avons eu à faire 3 voyages de camion vacuum. Afin d'être représentatif de la concentration des boues de chaque voyage, nous avons prélevé un échantillon dans le bus d'évaluer la siccité. Pour le premier voyage (30 mètres cube) l'échantillon démontrait une siccité de boues de 0.17 %. Pour le deuxième camion (30 mètres cube), l'échantillon démontrait une siccité de 1.136 % et le troisième camion (24.42 mètres cube) démontrait une concentration de 0.925 %. </t>
  </si>
  <si>
    <t xml:space="preserve">Le 26 mai 2021 : Nous avons vidangé les boues à l'aide d'un camion vacuum d'une capacité de 30 mètres cube. La totalité du volume des deux sections de la fosse de rétention des boues ( 84.42 mètres cube) à été vidangé et acheminé vers la baie de déshydratation de boues du système d'épuration par étang non aéré facultatif de la municipalité de Saint-Donat 62060-1. Comme la capacité du camion vacuum est de 30 mètres cube; nous avons eu à faire 3 voyages de camion vacuum. Afin d'être représentatif de la concentration des boues de chaque voyage, nous avons prélevé un échantillon dans le bus d'évaluer la siccité. Pour le premier voyage (30 mètres cube) l'échantillon démontrait une siccité de boues de 0.17 %. Pour le deuxième camion (30 mètres cube), l'échantillon démontrait une siccité de 1.136 % et le troisième camion (24.42 mètres cube) démontrait une concentration de 0.925 %. </t>
  </si>
  <si>
    <t>du 01 au 31 Janvier 2021, les boues acheminées au bassin d'extraction, sont centrifugées à une siccité de 22% ._x000D_
Au totale 54.6 tonnes ont été valorisées par viridis à la ferme du Ruisseau Mirabel.</t>
  </si>
  <si>
    <t>Les boues du bassin d'emmagasinement on été centrifuger a une siccité de 22% transporter et revaloriser par viridis environnement totalisant environs 55 tonnes.</t>
  </si>
  <si>
    <t xml:space="preserve">Les boues extraites sont acheminées par pompe vers le bassine d'emmagasinement, centrifuger a une siccité de 23% totalisant 67.9 tonne de boue transporter par weste management et disposer aux fermes du ruisseaux Mirabel par viridis. </t>
  </si>
  <si>
    <t>Du 01 au 30 Avril 2021 les boues centrifugées a une siccité de 22% ont été valorisées par viridis environnement, cummullant 51.2 tonnes de boue</t>
  </si>
  <si>
    <t>Du 01 au 31 mai 2021, les boues acheminées au bassin d'extraction, sont centrifugées a une siccité de 22% ._x000D_
Au total 43.4 tonnes ont été valorisées par Viridis environnement a la ferme du Ruisseau , Mirabel</t>
  </si>
  <si>
    <t>du 01 au 30 juin 2021, les boue acheminées au bassin d'extraction sont centrifugées a une siccité de 23% au total 56.84 tonnes ont été revalorisées par viridis a la ferme champs d'or.</t>
  </si>
  <si>
    <t>Du 01 au 31 juillet 2021,les boues acheminées au bassin d'extraction, sont centrifugées a une siccité de 22%._x000D_
Au total 61,63 tonnesbont été valorisées par Viridis environnement à la ferme du ruisseau Mirabel.</t>
  </si>
  <si>
    <t xml:space="preserve">du 01 au 31 aout 2021, les boues acheminées au bassin d'extraction, sont centrifugées a une siccité de 21 %. Au total 51,57 tonnes ont été valorisées par viridis environnement a la ferme hv s.e.n.c. (novago)._x000D_
</t>
  </si>
  <si>
    <t>Valorisation par Viridis. Ferme Cat et Cri 41.86 TMH, Plateforme Ferme du Ruisseau Mirabel: 9.61 TMH. Siccité 17%</t>
  </si>
  <si>
    <t>Du 01 au 30 novembre 2021, les boues acheminées au bassin d'emmagasinement, sont centrifugées a une siccité de 16%. Au total 110.19 tonnes ont été valorisées par Viridis environnement à la ferme de l'éclatière.</t>
  </si>
  <si>
    <t>du 01 au 31 décembre 2021, les boues acheminées au bassin d'extraction , sont centrifugées à une siccité de 21 %. Au total 70.15 tonnes ont été valorisées par Viridis environnement aux structure d'entreposage .</t>
  </si>
  <si>
    <t>Déshydratations quotidienne par Centrifugeuse, disposition ferme Perth la  valorisation des boues, quantités disposées 88,27 tonnes métrique humides (THM), avec une siccités moyenne mensuelle de 24,6 %. Provenant de l'épaississeur.</t>
  </si>
  <si>
    <t>Déshydratations quotidienne par Centrifugeuse, disposition ferme Perth Inc. et aussi à la ferme Benallan pour la valorisation des boues, quantités disposées 54,95 tonnes métrique humides (THM), avec une siccités moyenne mensuelle de 24,8 %. Provenant de l'épaississeur.</t>
  </si>
  <si>
    <t>Déshydratations quotidienne par Centrifugeuse, disposition site Ferme Perth champs #7 Inc. , Ferme du Ruisseau Mirabel et aussi à la ferme Benallan pour la valorisation des boues, quantités disposées 104,01 tonnes métrique humides (THM), avec une siccités moyenne mensuelle de 23,5 %. Provenant de l'épaississeur.</t>
  </si>
  <si>
    <t>Déshydratations quotidienne par Centrifugeuse, disposition site Ferme Perth Inc, à la ferme Benallan, et à la ferme Ruisseau Mirabel pour la valorisation des boues, quantités disposées 92,55 tonnes métrique humides (THM), avec une siccités moyenne mensuelle de 24,7 %. Provenant de l'épaississeur.</t>
  </si>
  <si>
    <t>Déshydratations quotidienne par Centrifugeuse, disposition site Ferme Ruisseau Mirabel, Ferme Benallan ainsi que la Ferme Champs D' Or pou la valorisation des boues, quantités disposées 75,63 tonnes métrique humides (THM), avec une siccités moyenne mensuelle de 23,1 %. Provenant de l'épaississeur.</t>
  </si>
  <si>
    <t>Déshydratations quotidienne par Centrifugeuse, disposition site Plateforme Ferme du Ruisseau et Ferme Champs D'Or pour la valorisation des boues, quantités disposées 102,97 tonnes métrique humides (THM), avec une siccités moyenne mensuelle de 22,2 %. Provenant de l'épaississeur.</t>
  </si>
  <si>
    <t>Déshydratations quotidienne par Centrifugeuse, disposition site Ferme Champs D'Or , Ferme du Ruisseau Mirabel, et aussi Ferme H.V. (S.E.N.C.), pour la valorisation des boues, quantités disposées 105,07 tonnes métrique humides (THM), avec une siccités moyenne mensuelle de 23 %. Provenant de l'épaississeur.</t>
  </si>
  <si>
    <t xml:space="preserve">_x000D_
Déshydratations quotidienne par Centrifugeuse, disposition site Ferme H-V SENC ainsi que la ferme Ruisseau Mirabel (plate forme),pour la valorisation des boues, quantités disposées 107,15 tonnes métrique humides (THM), avec une siccités moyenne mensuelle de 23,0 %. Provenant de l'épaississeur._x000D_
</t>
  </si>
  <si>
    <t>Déshydratations quotidienne par Centrifugeuse, disposition à la ferme Ruisseau Mirabel (plate forme), et la ferme Cat et Cri pour la valorisation des boues, quantités disposées 95,62 tonnes métrique humides (THM), avec une siccités moyenne mensuelle de 24,3 %. Provenant de l'épaississeur</t>
  </si>
  <si>
    <t>déshydratations quotidienne par Centrifugeuse, disposition site Ferme Christian Demers ainsi que la Cat et Cri et la Ferme Éclatière Senc, pour la valorisation des boues, quantités disposées 91,23 tonnes métrique humides (THM), avec une siccités moyenne mensuelle de 23,9 %. Provenant de l'épaississeur</t>
  </si>
  <si>
    <t>déshydratations quotidienne par Centrifugeuse, disposition site Ferme de l'Éclatière Senc ainsi que la ferme du Ruisseau a Mirabel, pour la valorisation des boues, quantités disposées 65,26 tonnes métrique humides (THM), avec une siccités moyenne mensuelle de 23,1 %. Provenant de l'épaississeur</t>
  </si>
  <si>
    <t>Ouvrage municipal d'assainissement des eaux usées de Sainte-Brigitte-de-Laval</t>
  </si>
  <si>
    <t>Sainte-Brigitte-de-Laval</t>
  </si>
  <si>
    <t xml:space="preserve">Méthode utilisée pour la vidange: Drague_x000D_
Les boues ont été transférées dans des géotubes_x000D_
_x000D_
Bassin #1A    vidange du 28 juin au 30 juin 2021_x000D_
volume soutiré: 585.13 m3 à une siccité moyenne de 2.27% _x000D_
_x000D_
Bassin #1B    vidange du 23 juin au 27 juin 2021_x000D_
volume soutiré: 1044.03 m3 à une siccité moyenne de 3.62% _x000D_
_x000D_
Bassin #2    vidange du 17 juin au 23 juin 2021_x000D_
volume soutiré: 3776.67 m3 à une siccité moyenne de 2.75% _x000D_
</t>
  </si>
  <si>
    <t>Vidange totale de la fosse septique FSI - 1 - Principal, Début de la vidange 17 juin 2021, Fin de la vidange 17 juin 2021, méthode vidange camion vacuum, 64.216 tonnes boues liquides.</t>
  </si>
  <si>
    <t>Boues acheminés à la Régie intermunicipale de gestion des déchets solides de la région de Coaticook, 1095 chemin Bilodeau, Coaticook,, installation de déshydratation et plateforme de compostage, quantité 64.216 tonnes boues liquides. Vidange totale de la fosse septique FSI - 1 - Principal, Début de la vidange 17 juin 2021, Fin de la vidange 17 juin 2021, méthode vidange camion vacuum.</t>
  </si>
  <si>
    <t>Ouvrage municipal d'assainissement des eaux usées de Sainte-Clotilde</t>
  </si>
  <si>
    <t>Sainte-Clotilde</t>
  </si>
  <si>
    <t>Cellule #4_x000D_
Date début et fin: 21 septembre 2021_x000D_
Méthode utilisée: Pompage_x000D_
Quantité soutirée en m3: 595 m3_x000D_
siccité moyenne des boues en %: 3.04%</t>
  </si>
  <si>
    <t>Méthode: Entreposage
Lieu: Lot 4 776 838, cadastre du Québec, municipalité d'Henryville
Quantité évacuée: 595 m3
Siccité moyenne: 3.04%
Identification de la cellule: Cellule #4
Date de début et fin de la vidange: 21 septembre 2021
Méthode vidange: Pompage</t>
  </si>
  <si>
    <t>Transporté hebdomadairement par un camion déchet au site d'enfouissement sanitaire de la MRC de Lotbinière, la quantité de boues évacuée est de .60m3._x000D_
_x000D_
Nous avons un système de dégrillage fin pour le traitement des eaux usées.</t>
  </si>
  <si>
    <t>Transporté hebdomadairement par un camion déchet au site d'enfouissement sanitaire de la MRC de Lotbinière, la quantité de boues évacuée est de 0.70 m3._x000D_
_x000D_
Nous avons un système de dégrillage fin pour le traitement des eaux usées.</t>
  </si>
  <si>
    <t>Transporté hebdomadairement par un camion déchet au site d'enfouissement sanitaire de la MRC de Lotbinière, la quantité de boues évacuée est de .45 m3._x000D_
_x000D_
Nous avons un système de dégrillage fin pour le traitement des eaux usées.</t>
  </si>
  <si>
    <t>Transporté hebdomadairement par un camion déchet au site d'enfouissement sanitaire de la MRC de Lotbinière, la quantité de boues évacuée est de .63 m3._x000D_
_x000D_
Nous avons un système de dégrillage fin pour le traitement des eaux usées.</t>
  </si>
  <si>
    <t>Transporté hebdomadairement par un camion déchet au site d'enfouissement sanitaire de la MRC de Lotbinière, la quantité de boues évacuée est de .55 m3._x000D_
_x000D_
Nou savons un système de dégrillage fin pour le traitement des eaux usées.</t>
  </si>
  <si>
    <t xml:space="preserve">Transporté hebdomadairement par un camion déchet au site d'enfouissement sanitaire de la MRC de Lotbinière, la quantité de boues évacuée est de .45 m3 total._x000D_
_x000D_
Nous avons un système de dégrillage fin pour le traitement des eaux usées. </t>
  </si>
  <si>
    <t>Transporté hebdomadairement par un camion déchet au site d'enfouissement sanitaire de la MRC de Lotbinière, la quantité de boues évacuée est de 1.10 m3._x000D_
_x000D_
Nous avons un système de dégrillage fin pour le traitement des eaux usées.</t>
  </si>
  <si>
    <t>Ouvrage municipal d'assainissement des eaux usées de Sainte-Hélène</t>
  </si>
  <si>
    <t>Sainte-Hélène-de-Kamouraska</t>
  </si>
  <si>
    <t>étang 1 et 2 du 19 au 27 mai, méthode dragage pour un total de  69.88 Tonnes de matière sèche pomper des étangs avec une siccité moyenne de 4.3%</t>
  </si>
  <si>
    <t>70 m³ de boues évacuées par ECC Environnement  à son site de disposition par épandage agricole.  Siccité estimée 3% .</t>
  </si>
  <si>
    <t>56 m3 de boues évacuées par camion vacuum avec une siccité de 4%. Les boues ont été transportées chez Eco Environnement à Acton Vale.</t>
  </si>
  <si>
    <t>Ouvrage municipal d'assainissement des eaux usées de Sainte-Irène</t>
  </si>
  <si>
    <t>Filtre à tourbe Biosor</t>
  </si>
  <si>
    <t>Sainte-Irène</t>
  </si>
  <si>
    <t>Par camion vacuum</t>
  </si>
  <si>
    <t>Transport de la totalité des boues et des écumes aspiré vers un site de traitement des eaux</t>
  </si>
  <si>
    <t>Méthode:  transport par camion.  Lieu:  Ferme Lemage: 566.81 TMS.  Date: 15 octobre 2021.  Siccité moyenne: 23.74%.  Boue entreposée dans des sacs.</t>
  </si>
  <si>
    <t xml:space="preserve">Étang 3: 388,2 TMS.  Étang 4: 83,7 TMS.  Pour un total de 471.9 TMS draguées et entreposées dans des sacs de décantations sur la plateforme de séchage de la Ville. </t>
  </si>
  <si>
    <t xml:space="preserve">Étang 2:   121.7 TMS draguées et entreposées dans des sacs de décantations sur la plateforme de séchage de la Ville. </t>
  </si>
  <si>
    <t>vidange des 2 fosses,  secteur centre et ouest._x000D_
retirer 35.32 m3</t>
  </si>
  <si>
    <t>sani-manic, st-anaclet, 35.32 m3 le 20 septembre 2021.</t>
  </si>
  <si>
    <t>Bassin #1 du 5au 7 novembre 2021, méthode de dragage, pompage dans des géotubes, 398 M3, 16,70 % de siccité moyenne, _x000D_
_x000D_
Bassin #2 du 8 au 10 novembre 2021, méthode de dragage, pompage dans des géotubes, 230 M3, 6,59% de siccité moyenne</t>
  </si>
  <si>
    <t>Disposition des sacs de déshydrations de l'année passée. 18 camion pour un total de 49,22 TMS ont été valorisé dans un champs de la municipalité avec la compagnie Andana services inc. sous-traitant de simetech environnement. Un 19 camion a été porter les sac de déshydratation au sites d'enfouissement EBI dépôt Rive-Nord.</t>
  </si>
  <si>
    <t>Une siccité de 20 % a été utilisée pour l'estimation du tonnage en tonnes humides.</t>
  </si>
  <si>
    <t>5250 gallon sortie par camion vacuum le lundi 24</t>
  </si>
  <si>
    <t>5250 gallon sortie le 24 par camion vacuum et envoyer au site d'enfouissement</t>
  </si>
  <si>
    <t>Disposition par camion benne. Lieux de disposition: Ferme D. Lalande Saint-André: 21,51 m³ et Ferme Benallan Lachute; 416,52 m³.Quantité totale de boues pour le mois: 438,03m³. Siccité moyenne: 24,7 %.</t>
  </si>
  <si>
    <t>Disposition par camion benne. Quantité de boues évacuées pour le mois: 473,29 m³. Siccité moyenne: 24,1 %._x000D_
Détail aux lieux de disposition: Ferme D. Lalande Saint-André: 292,84m³; Ferme Benallan Lachute: 180,45 m³ pour un total de 473,29 m³</t>
  </si>
  <si>
    <t>Disposition par camion benne. Lieu de disposition: Ferme D. Lalande Saint-André. Quantité de boues évacuées: 580,31 m³. Siccité moyenne: 24,4 %.</t>
  </si>
  <si>
    <t>Disposition par camion benne. JMV Environnement. Quantité des boues évacuées: 565,11 m³. Siccité moyenne des boues: 26,2 %._x000D_
Détails des totaux par site: Ferme D. Lalande St-André: 221,88 m³; Ferme Benoit Champagne St-Roch sur le Richelieu: 164,97 m³; Ferme Robert Coursol Ste-Anne des Plaines: 170,49 m³; Ferme David Côté Ulverton Ont.: 7,77 m³.</t>
  </si>
  <si>
    <t>Disposition par camion benne. Quantité de boues évacuées: 626,76 m³. Siccité moyenne des boues: 25,4 %._x000D_
Détails des totaux par site: Robert Coursol Ste-Anne des Plaines: 616,91 m³. Dominic Girard, St-Germain de Grantham: 9,85 m³.</t>
  </si>
  <si>
    <t>Disposition par camion benne par JMV Environnement. Quantité des boues évacuées pour le mois: 685,32 m³. Siccité moyenne des boues: 26 %._x000D_
Détail des totaux par site: Robert Coursol, Ste-Anne des Plaines: 222,77 m³; Dominic Girard, St-Germain de Grantham: 157,44 m³; Gilles Ouimet, Ste-Anne des Plaines: 305,11 m³.</t>
  </si>
  <si>
    <t>Disposition par camion benne par JMV Environnement. Quantité de boues évacuées pour le mois:  630 m³. Siccité moyenne des boues: 25,9 %. Détails des totaux par site:_x000D_
Ben Hammond Lachute: 411,77 m³; Gérard Parent Durham Sud: 96,69 m³; Dominic Girard St-Germain de Grantham: 84,39 m³; Paul Bernet St-Félix de Kingsey: 23,55 m³; _x000D_
C. St-Sauveur St-Edmond de Grantham: 13,60 m³._x000D_
Note: Échantillonnage semestriel des boues effectué, le 5 juillet 2021.</t>
  </si>
  <si>
    <t>Disposition par camion benne. JMV Environnement. Quantité de boues évacuées: 690,1 m³. Siccité moyenne des boues: 25,2 %. Le détail des dispositions des boues par site est le suivant: Antonio Cotoia Ste-Anne des Plaines: 410,28 m³; Ben Hammond Lachute: 211,39 m³; Gérard Parent Durham Sud: 68,41 m³.</t>
  </si>
  <si>
    <t>Disposition par camion benne. JMV Environnement. Quantité de boues évacuées pour le mois de septembre: 648,21 m³. Siccité moyenne: 24,8 %. _x000D_
Détail des totaux par site: Jean-Pierre Malette Beauharnois: 12,07 m³; Antonia Cotoia Ste-Anne des Plaines: 34,05 m³; André Raymond Durham Sud: 58,73 m³; Ben Hammond Lachute: 185,26 m³; Robert Coursol Ste-Anne des Plaines: 358,10 m³.</t>
  </si>
  <si>
    <t>Disposition par camion benne JMV Environnement. Quantité des boues évacuées: 618,5 m³. Siccité moyenne: 23,0 %. Site: Ferme Benallan, 545 ch. Bethany, Lachute.</t>
  </si>
  <si>
    <t>Disposition par camion benne par JMV Environnement. Quantité de boues évacuées: 649,11 m³. Siccité moyenne des boues: 23,2 %. _x000D_
Détails des totaux par site: Ferme Antonia Cotoia, 507, Rang Lepage, Ste-Anne des Plaines: 91,82 m³; Ferme Benallan, 545, ch. Bethany, Lachute (Ben Hammond): 202,11 m³;_x000D_
Ferme Benoit Champagne, 581, Côte St-Jean, St-Roch sur le Richelieu: 72,72 m³.; Ferme Pirocco, 45, Rang Lepage, Ste-Anne des Plaines (Richard Coursol): 282,46 m³².</t>
  </si>
  <si>
    <t>Disposition par camion benne: JMV Environnement. Quantité des boues évacuées: 588,79 m³. Siccité moyenne: 23,3 %. Détails des totaux par site: Ferme Benallan (Ben Hammond) 545, ch. Bethany, Lachute: 389,01 m³;  Ferme Benoit Champagne, 581, Côte St-Jean, Saint-Roch sur le Richelieu: 75,82 m³; Ferme G.L. Henderson, 187, Rang de la Rivière Noire Nord, Saint-Chrysostome: 123,96 m³.</t>
  </si>
  <si>
    <t>l'étang n° 3 a été vidangé du 3 au 12 novembre 2021 inclusivement par pompage. Quantité sortie du bassin est de 3470.95 tonnes. Siccité de 2.7%</t>
  </si>
  <si>
    <t xml:space="preserve">disposition par transport au RIRT de Thetford-Mines. </t>
  </si>
  <si>
    <t xml:space="preserve">Une entreprise prend en charge la disposition des boues et transporte le tout directement à son usine._x000D_
La quantité de boues évacuée est de 1.62 m3 sur une période de 41 jours._x000D_
</t>
  </si>
  <si>
    <t xml:space="preserve">Une entreprise prend en charge la disposition des boues et transporte le tout directement à son usine._x000D_
La quantité de boues évacuée est de 1,33 m3 sur une période de 42 jours._x000D_
</t>
  </si>
  <si>
    <t xml:space="preserve">Une entreprise prend en charge la disposition des boues et transporte le tout directement à son usine._x000D_
La quantité de boues évacuée est de 1.16 m3 m3 sur une période de 38 jours._x000D_
</t>
  </si>
  <si>
    <t xml:space="preserve">Une entreprise prend en charge la disposition des boues et transporte le tout directement à son usine._x000D_
La quantité de boues évacuée est de 1,11 m3 sur une période de 42 jours._x000D_
</t>
  </si>
  <si>
    <t xml:space="preserve">Une entreprise prend en charge la disposition des boues et transporte le tout directement à son usine._x000D_
La quantité de boues évacuée est de 1,21 m3 sur une période de 51 jours._x000D_
</t>
  </si>
  <si>
    <t xml:space="preserve">Une entreprise prend en charge la disposition des boues et transporte le tout directement à son usine._x000D_
La quantité de boues évacuée est de 1,28 m3 sur une période de 78 jours._x000D_
</t>
  </si>
  <si>
    <t>Une entreprise prend en charge la disposition des boues et transporte le tout directement à son usine._x000D_
La quantité de boues évacuée est de 1,21 m3 sur une période de 55 jours.</t>
  </si>
  <si>
    <t>Dispotions par enfouissement au site EBI, 3847 m3 retirée, siccité moyenne de 11,4%</t>
  </si>
  <si>
    <t>Disposition par enfouissement au site EBI, 16,79 m3, siccité moyenne de 11,3%</t>
  </si>
  <si>
    <t>Disposition par enfouissement au site EBI, 35,91 m3, siccité moyenne de 11,3%</t>
  </si>
  <si>
    <t>Disposition par enfouissement au site EBI, 47,69 m3, siccité moyenne de 11,3%</t>
  </si>
  <si>
    <t>Disposition par enfouissement au site EBI, 33,48 m3 siccité moyenne de 11,3%</t>
  </si>
  <si>
    <t>Disposition par enfouissement au site EBI, 11,3% de siccité, 48,41 m3</t>
  </si>
  <si>
    <t>disposition par enfouissement au site EBI, 50,28 m3, siccité moyenne de 13,3% (modifications aux ajustements du filtre à bandes = amélioration de la siccité ce mois-ci)</t>
  </si>
  <si>
    <t>disposition par enfouissement au centre EBI 37m3, siccité moyenne de 13,3%</t>
  </si>
  <si>
    <t>Disposition par enfouissement au site EBI, 47,09 m3 évacué, siccité 13,3%</t>
  </si>
  <si>
    <t>disposition des boues par enfouissement au site EBI, 45,10 m3, siccité moyenne de 13,3%</t>
  </si>
  <si>
    <t>Disposition des boues par enfouissement au site EBI, 37,35 m3, siccité moyenne de 13,3%</t>
  </si>
  <si>
    <t>Disposition au site d'enfouissement EBI, 34,93 m3, siccité moyenne de 13,3%</t>
  </si>
  <si>
    <t>Ouvrage municipal d'assainissement des eaux usées de Saint-Gédéon-de-Beauce</t>
  </si>
  <si>
    <t>Saint-Gédéon-de-Beauce</t>
  </si>
  <si>
    <t>MÉTHODE DE DIPOSITION :VALORISATION _x000D_
LIEUX : SAC 1 ET 2 MINE BLACK LAKE (PHASE 2) ET SAC 3 FERME LUC LACHANCE SAINT-GÉDEON-DE BEAUCE_x000D_
QUANTITÉ DE BOUES : MINES 322.2 M CUBE     FERME 277.5 M CUBE_x000D_
SICCITÉ  : SAC 1   33.6      SAC 2     30.7       SAC 3     33.4_x000D_
MÉTHODE : DRAGAGE</t>
  </si>
  <si>
    <t>Ouvrage municipal d'assainissement des eaux usées de Saint-Germain-de-Grantham</t>
  </si>
  <si>
    <t>Saint-Germain-de-Grantham</t>
  </si>
  <si>
    <t>Vidange des boues des étangs 2 et 3_x000D_
Date des travaux : 2021-06-28 au 2021-07-08_x000D_
Vidange par dragage avec centrifugeuse _x000D_
36 voyages de semi-trailer - total 1258 tonnes avec une siccité moyenne de 25.76%_x000D_
Étang #2 :  734 tonnes, siccité moyenne 25.76% = 128.45 TMS (tonne métrique sèche) = ± 3778 m³ de boues liquides (valeur approximative obtenue par calcul avec la siccité des boues mesurée dans l'étang en 2020 / TMS sortie)_x000D_
Étang #3 : 524 tonnes (siccité moyenne 25.76%) = 193.16 TMS (tonne métrique sèche) = ± 3715m³ de boues liquides (valeur approximative obtenue par calcul avec la siccité des boues mesurée dans l'étang en 2020 / TMS sortie)</t>
  </si>
  <si>
    <t>Méthode de disposition : valorisation agricole_x000D_
Lieu de disposition : Ferme Gilles Daviau à St-Valérien_x000D_
Quantité de boues évacuée : La totalité (1258 tonnes - siccité moyenne 25.76%)</t>
  </si>
  <si>
    <t>Rapport complet de la vidange des boues dans le rapport mensuel de juin.</t>
  </si>
  <si>
    <t>Ouvrage municipal d'assainissement des eaux usées de Saint-Guillaume</t>
  </si>
  <si>
    <t>Saint-Guillaume</t>
  </si>
  <si>
    <t>Le pompage des boues a débuté en Mai. Nous n'avons pas encore à ce jour les données de pompage.</t>
  </si>
  <si>
    <t xml:space="preserve">Le pompage des boues a débuté en Mai. Nous n'avons pas encore à ce jour les données de disposition._x000D_
</t>
  </si>
  <si>
    <t>Ouvrage municipal d'assainissement des eaux usées de Saint-Henri</t>
  </si>
  <si>
    <t>Saint-Henri</t>
  </si>
  <si>
    <t>Étang #1, du 1ier juin au 15 juin 2021.  Boues soutirées de l'étang au moyen d'une drague par pompage.  Les boues sont entreposées dans des sacs sur le site. 5288m3 ont été pompées et 190,08 t.m.s ont été disposées dans les sacs.</t>
  </si>
  <si>
    <t>vidange du bassin des boues par citerne de viridis environnement 64.73 m3</t>
  </si>
  <si>
    <t>le 9 mars vidange du bassin des boues par camion citerne de viridis environnement 65.21 m3 envoyé à la ferme R.Bessette de St-Alexandre</t>
  </si>
  <si>
    <t>63.91 m3 vidange du bassin des boues par citerne de viridis environnement vers la fosse de st-alexandre le 28 avril</t>
  </si>
  <si>
    <t>le 10 juin vidange du bassin des boues par citerne de viridis environnement vers la fosse bessette a st-alexandre 69.5 m3</t>
  </si>
  <si>
    <t>vidange du bassin des boues par viridis environnement par citerne 65.17 m3 le 27-07 vers la fosse Bessette de St-Alexandre</t>
  </si>
  <si>
    <t>63.8m3 de3 boue évacué par citerne de viridis environnement vers la fosse bessette à st-alexandre</t>
  </si>
  <si>
    <t>20-10 vidange du bassin des boues par citerne de viridis environnement vers la fosse bessette a st- alexandre 59.58 m3</t>
  </si>
  <si>
    <t>vidange du bassin des boues par Viridis environnement par camion citerne vers la fosse Bessette a St-Alexandre 63.8 m3</t>
  </si>
  <si>
    <t>EBI, Saint-Thomas, 32.44 t.m. , 17.7 % de siccité moyenne</t>
  </si>
  <si>
    <t xml:space="preserve">Saint-Thomas, EBI, 28.89 t.m. , 16.1%  </t>
  </si>
  <si>
    <t xml:space="preserve">Benne, EBI, 32080tm, 18%, </t>
  </si>
  <si>
    <t>29 460 T.M., siccité 17.4%, EBI, St-Tomas, benne</t>
  </si>
  <si>
    <t>17.2 t.m.,  EBI St-Thomas, Benne, 15,7% siccitée</t>
  </si>
  <si>
    <t>Benne, EBI St-Thomas,32.61 tm, 15,6% siccité</t>
  </si>
  <si>
    <t>Bennes,EBI St thomas , siccité 15.7%, 28,11 TM</t>
  </si>
  <si>
    <t xml:space="preserve">04 Benne EBI , Quantité 32.61 TM, Siccité moyenne 15.21 %  </t>
  </si>
  <si>
    <t>Benne EBI ,Quantité 26.71 Tm, siccité moyenne 15.2% pour le moi Septembre</t>
  </si>
  <si>
    <t>Benne, 18.49 t.m., siccité 14.7%, EBI</t>
  </si>
  <si>
    <t>E.B.I. siccité 17.3%, benne, 29.05t.m.</t>
  </si>
  <si>
    <t>E.B.I., Benne, 28.99 T.M., siccité 16.6%</t>
  </si>
  <si>
    <t>Ouvrage municipal d'assainissement des eaux usées de Saint-Janvier-de-Joly</t>
  </si>
  <si>
    <t>Saint-Janvier-de-Joly</t>
  </si>
  <si>
    <t xml:space="preserve">terra pure a soutiré les boues dans les 4 cellules  les travaux ont débutés le 22 juillet et ont terminé le 27 juillet _x000D_
une barge flottante avec une pompe a servi aux travaux  33m cubes de matière sèches_x000D_
quantité soutirée  1025 m, cube  siccité moyenne de 5.26%_x000D_
</t>
  </si>
  <si>
    <t xml:space="preserve">les boues ont été passé au dégrilleur  ensuite  ils ont ajouté un produit pour aider la séparation du liquide et du solide  pour ensuite le stocker dans un sac de 105 pi de long _x000D_
installé sur un banc de sable sur place  avec pente pour permettre à l'eau de retourner dans la cellule 1_x000D_
les travaux ont débutés le 21 juillet et terminé le 24 juillet  boues évacuées 1025 m. cubes siccité de 5.26% _x000D_
les boues étaient pompé de la barge vers le dégrilleur et ensuite vers un camion ou était ajouté le produit et ensuite transféré dans le sac   </t>
  </si>
  <si>
    <t>34 870 kg de boues d'une siccité moyenne de 16,5% sont envoyées en valorisation dans la Municipalité de Saint-Alexandre.</t>
  </si>
  <si>
    <t>72 690 kg de boues d'une siccité moyenne de 15,5% sont envoyées en valorisation dans la Municipalité de Saint-Alexandre.</t>
  </si>
  <si>
    <t>51 170 kg de boues d'une siccité moyenne de 16,4% sont envoyées en valorisation dans la Municipalité de Saint-Alexandre.</t>
  </si>
  <si>
    <t>Description :_x000D_
_x000D_
47 140 kg de boues d'une siccité moyenne de 16,2% sont envoyées en valorisation dans la Municipalité de Saint-Alexandre.</t>
  </si>
  <si>
    <t>34 280 kg de boues d'une siccité moyenne de 17,0% sont envoyées en valorisation dans la Municipalité de Saint-Alexandre.</t>
  </si>
  <si>
    <t>49 960 kg de boues d'une siccité moyenne de  15.7% sont envoyées en valorisation dans la Municipalité de Saint-Alexandre.</t>
  </si>
  <si>
    <t>50 910 kg de boues d'une siccité moyenne de 16.3% sont envoyées en valorisation dans la Municipalité de Saint-Alexandre.</t>
  </si>
  <si>
    <t>34 470 kg de boues d'une siccité moyenne de 16.6% sont envoyées en valorisation dans la Municipalité de Henryville</t>
  </si>
  <si>
    <t>36 720 kg de boues d'une siccité moyenne de 16.2 % sont envoyées en valorisation dans la Municipalité d`Henryville</t>
  </si>
  <si>
    <t>37 290 kg de boues d'une siccité moyenne de 15.6 % sont envoyées en valorisation dans les Municipalités d'Henryville et de St-Alexandre</t>
  </si>
  <si>
    <t>37 220 kg de boues d'une siccité moyenne de 15,8 % sont envoyées en valorisation dans la Municipalité de St-Alexandre</t>
  </si>
  <si>
    <t>38190 kg de boues d'une siccité moyenne de 16.1 % sont envoyées en valorisation dans la Municipalité de Henryville.</t>
  </si>
  <si>
    <t xml:space="preserve">Valorisation agricole 920.8TM dont 713,35TM MEUZZI JEURIS et 207,4TM Ferme L &amp; Y Toupin 1773._x000D_
</t>
  </si>
  <si>
    <t>Valorisation agricole : 925,55TM soit 40,8 Agrobiosol, 413,5TM Meuzzi Jeuris Chemin Alberton, 348,25TM Ferme L &amp; Y Toupin Coteau du Trèfle et 122TM Ferme L&amp; Y Toupin Coulée des Pères</t>
  </si>
  <si>
    <t>1031.87 TM  Valorisation agricole : 591.1TM. Agrobiosol- 242.4TM Ferme Meuzzi Jeuris Alberton et 198.37TM Ferme L &amp; Y Toupin Coteau Trèfle.</t>
  </si>
  <si>
    <t>Valorisation agricole : 1015.39TM  - Agrobiosiol 479.36TM / Ferme Leblanc St-Anicet, Cazaville 536,03TM</t>
  </si>
  <si>
    <t>Valorisation agricole : Total : 983.95t.m. = Agrobiosol 220.80 t.m. + Alberton 431.75 t.m. +  Ferme Marc Leblanc 331.40 t.m.</t>
  </si>
  <si>
    <t>971.5 Tonnes métriques en valorisation</t>
  </si>
  <si>
    <t>Valorisation agricole : 943.95TM - Agrobiosol: 594.75TM - Mazzi, Alberton : 160.5TM - Ferme CPL Lacoste, Mercier : 96TM - Ferme Serge Lacoste : 92,7TM</t>
  </si>
  <si>
    <t>Valorisation agricole : 882,34TM - soit 222,87 Agrobiosol - 38,61TM Alberton - 305,89TM Ferme CPL Lacoste Mercier - 314,97TM Ferme Serge Lacoste Mercier</t>
  </si>
  <si>
    <t>Valorisation agricole :  943.39 TM - Soit 556.88tm Agrobiosol  - 199,52T.M. Ferme Muzzi  - 186.99 Ferme CPL Lacoste.</t>
  </si>
  <si>
    <t>Valorisation agricole tout le mois. Agrobiosol 709.25TM  et ferme Muzzi Alberton 222.88TM - Total : 932.13 TM- Siccité 32.7%</t>
  </si>
  <si>
    <t>Valorisation agricole 874.40 TM agrobiosol.  33% siccité</t>
  </si>
  <si>
    <t>Valorisation agricole tout le mois : total de 935,84 TM.  Agrobiosol : 669.69 TM - Ferme Muzzi, Alberton 201.05TM et Ferme Lucien Toupin, Coteau de Trèfle 65,10TM - Siccité 31,6%</t>
  </si>
  <si>
    <t>Ouvrage municipal d'assainissement des eaux usées de Saint-Jean-sur-Richelieu (L'Acadie)</t>
  </si>
  <si>
    <t xml:space="preserve"> La date de début et de fin de la vidange : 6, 7, 12 &amp; 13 octobre_x000D_
 Le numéro du bassin ou de létang : No2_x000D_
 La méthode utilisée pour la vidange : Pompage par dragage avec étang en activité_x000D_
 La méthode utilisée pour le conditionnement et laccroissement de la siccité des boues : Passive par sac géotextile_x000D_
 Entreposage temporaire avant la destination finale : Sur le site dans un sac géotextile_x000D_
 La quantité soutirée en m³ : 2117 m³ _x000D_
 La quantité tonnes métriques de matières sèches : 38,67 TMS </t>
  </si>
  <si>
    <t>La disposition des boues de la vidange de l'étang No2 aura lieu en 2022. Le mandat sera donné en sous-traitance pour la valorisation agricole (conformément au Guide sur le recyclage des matières résiduelles fertilisante)</t>
  </si>
  <si>
    <t>Ouvrage municipal d'assainissement des eaux usées de Saint-Justin</t>
  </si>
  <si>
    <t>Saint-Justin</t>
  </si>
  <si>
    <t>Les deux étangs de la station d'épuration ont été vidangés. Les travaux ont commencés le 7 mai 2021, tôt le matin, pour se terminer le 8 mai 2021 en fin de journée, avec une interruption de 18:30 à 7:00. Ils furent vidangés par pompage et les boues furent revalorisées comme MRF dans le champ voisin, par irrigation. Nous estimons la quantité de boues vidangées à 700 mètres cubes au total et la siccité des boues à 30 %.</t>
  </si>
  <si>
    <t>Les deux étangs de la station d'épuration ont été vidangés. Les travaux ont commencés le 7 mai 2021, tôt le matin, pour se terminer le 8 mai 2021 en fin de journée, avec une interruption de 18:30 à 7:00. Ils furent vidangés par pompage et les boues furent revalorisées comme MRF dans le champ voisin de la station d'épuration, par irrigation. Nous estimons la quantité de boues vidangées à 700 mètres cubes au total et la siccité des boues à 30 %.</t>
  </si>
  <si>
    <t>Ouvrage municipal d'assainissement des eaux usées de Saint-Lambert-de-Lauzon</t>
  </si>
  <si>
    <t>Saint-Lambert-de-Lauzon</t>
  </si>
  <si>
    <t>La Nouvelle-Beauce</t>
  </si>
  <si>
    <t>Épandage agricole chez  Lemage inc.   3415 , chemin de la butte-aux-renard , Varennes.  (étang 1a = 157.7 tonnes à 28% siccité) , (étang 1b = 146.9 tonnes à 25% siccité) , (étang 2a = 59.8 tonnes à 28% siccité) et ( étang 2b = 22.5 tonnes à 29% siccité) . Méthode centrifugeuse .  du 23 au 30 juillet 2021.</t>
  </si>
  <si>
    <t>Ouvrage municipal d'assainissement des eaux usées de Saint-Léon-le-Grand (La Matapédia)</t>
  </si>
  <si>
    <t>Saint-Léon-le-Grand</t>
  </si>
  <si>
    <t xml:space="preserve">  ÉTANG: 1  H boues fond: 44 m  Vol  boues total : 64 m3  Vol occupé :11%  _x000D_
  ÉTANG:  4  boues fond 1,10 m, vol boues total :158 m3    vol occupé : 27.4%       </t>
  </si>
  <si>
    <t>Étang no 1: 10 mai au 18 mai 2021 ; Méthode: drague flottante, dosage polymère et centrifugeuse ; Quantité soutirée: 95,61 TMS ; Siccité moyenne: 48,16%
Étang no 2: 18 mai au 3 juin 2021 ; Méthode: drague flottante, dosgee polymère et centrifugeuse ; Quantité soutirée: 185,90 TMS ; Siccité moyenne: 25,31%</t>
  </si>
  <si>
    <t>Informations à venir (Rapport final vidange et disposition des boues en attente)</t>
  </si>
  <si>
    <t>Étang no 2: 18 mai au 3 juin 2021 ; Méthode: drague flottante, dosage polymère et centrifugeuse ; Quantité soutirée: 185,90 TMS ; Siccité moyenne: 25,31%_x000D_
_x000D_
Étang no 3: 4 au 9 juin 2021 ; Méthode: drague flottante, dosage polymère et centrifugeuse ; Quantité soutirée: 85,31 TMS ; Siccité moyenne: 26,31%</t>
  </si>
  <si>
    <t xml:space="preserve">Rapport à venir </t>
  </si>
  <si>
    <t>Ouvrage municipal d'assainissement des eaux usées de Saint-Louis</t>
  </si>
  <si>
    <t>Saint-Louis</t>
  </si>
  <si>
    <t>bassin              date                 pompage          quantité mètre cube     siccité en %_x000D_
  4                    1 sept                pompe               309,69                               2,52%_x000D_
 3                     1 sept                pompe               309,61                                2,19%_x000D_
 1                     2 sept                pompe               245,74                                5,00%_x000D_
2                      2 sept                pompe               138,38                                2,49%</t>
  </si>
  <si>
    <t>méthode de disposition par valorisation sur terre agricoles_x000D_
pour un volume total de 991,42 mètre cube_x000D_
pour une moyen de 3,05 % siccité_x000D_
pour les bassin 1-2-3-4  _x000D_
début le 1 sept et fin le 2 sept_x000D_
lieu de l'épandage   ferme libert et cartier enr_x000D_
                                 441 rang du bord de leau_x000D_
                                  saint aimé_x000D_
                                  j0g 1k0</t>
  </si>
  <si>
    <t>Ouvrage municipal d'assainissement des eaux usées de Saint-Louis-de-Gonzague (Montérégie)</t>
  </si>
  <si>
    <t>Saint-Louis-de-Gonzague</t>
  </si>
  <si>
    <t>La vidange des boues a eue lieu au cours du mois de septembre._x000D_
La vidange à débuté le 13/09/2021 et termina le 16/09/2021.La méthode utilisée fut un soutirage des boues vers des sacs près des bassins afin de voir à l'éventuelle  déshydratation de celles-ci. Les boues seront récupérées et disposées au cours de l'année prochaine. La quantité soutirée est de 1579.82 m3,la siccité moyenne des boues soutirées est de 0.026 %.</t>
  </si>
  <si>
    <t>Se fera en septembre 2021</t>
  </si>
  <si>
    <t>Oui, fait le 5 octobre 2021 par M. Ghislain Morin dEnviroboue d'Amos.</t>
  </si>
  <si>
    <t xml:space="preserve">Le soutirage des boues a été effectué avec une pompe à boues et manoeuvrer sur  un radeau sur cellule 3 qui a débuté fin novembre 2021 et pomper sur un lit de séchage qui aura effet gel dégel et par la suite continuer à l'été 2022.  Aucune siccité a été fait au laboratoire devra être fait en 2022 en soutirant d'autres boues au début de l'été 2022._x000D_
NB: Le soutirage de boues en 2020 n'a pas été efficace, nous avons due modifier le radeau et la façon de ce déplacer sur la cellule._x000D_
Soutirage de de boue flottante et lentille d'eau  sur les cellules 3 et 4 est de 4 m3 approximative et récupérer au printemps par Campor environnement_x000D_
</t>
  </si>
  <si>
    <t>Ouvrage municipal d'assainissement des eaux usées de Saint-Nazaire</t>
  </si>
  <si>
    <t>Saint-Nazaire</t>
  </si>
  <si>
    <t>Vidange des étangs 1 et 2 réalisé entre le 14 septembre et le 19 septembre. Avec pompe de lisier_x000D_
Étang 1: 1721.2 mètres cubes_x000D_
Étang 2: 2994.6 mètres cubes_x000D_
5% de MS</t>
  </si>
  <si>
    <t xml:space="preserve">Épandage dans des champs de foins._x000D_
Champs de la ferme Louis-Maurice Tremblay, _x000D_
Total de boues 4 716 mètres cubes._x000D_
5% de MS_x000D_
Étangs 1 et 2_x000D_
Réalisé entre le 14 septembre et le 19 septembre_x000D_
Avec pompe de lisier </t>
  </si>
  <si>
    <t>vidange du bassin d'accumulation des boues, le 13 octobre , un camion de transport et un camion 2600 CFM, 34.07 mètres cubes</t>
  </si>
  <si>
    <t>disposition des boues à l'usine de traitement des boues à Lac Etchemin,  13 octobre , 34.07 mètres cubes</t>
  </si>
  <si>
    <t>Ouvrage municipal d'assainissement des eaux usées de Saint-Nérée</t>
  </si>
  <si>
    <t>Saint-Nérée-de-Bellechasse</t>
  </si>
  <si>
    <t>Vidange des boues effectuée dans les deux étangs du 9 aout au 13 aout, et le 17 aout. 31.06 tonnes de matière sèche vidangée de l'étang 1 et 42.20 tonnes de matières sèches vidangées de l'étang 2._x000D_
73.26 tonnes vidangées au total._x000D_
Siccité moyenne de 2.50%</t>
  </si>
  <si>
    <t>Ouvrage municipal d'assainissement des eaux usées de Saint-Noël</t>
  </si>
  <si>
    <t>Saint-Noël</t>
  </si>
  <si>
    <t>Le bassin no:1 cellule 1 et 2 ont été vidanger .Le début des travaux était le 28/10/2021 pour se terminé le 29/10/2021 la méthode es le siphonnage par le fond du bassin et le nombre de mètre cube es de 840. La siccité es de 4%.</t>
  </si>
  <si>
    <t xml:space="preserve">L`épandage des boues a eu lieu sur des terres agricoles avoisinante sur la supervision  de la firme JMP consultants le nombre de mètres cubes es de 840 sa siccité moyenne es de 4%. Le début des travaux était le 28/10/2021 pour terminé le 29/10/2021.Ces travaux ont été réaliser sur le bassin no:1. </t>
  </si>
  <si>
    <t>Vidange de la fosse septique le 3 novembre 40 mètre cubes par camion vacuum</t>
  </si>
  <si>
    <t>Ouvrage municipal d'assainissement des eaux usées de Saint-Raphaël</t>
  </si>
  <si>
    <t>Saint-Raphaël</t>
  </si>
  <si>
    <t xml:space="preserve">Bassin1: _x000D_
- Du 16 au 24 avril_x000D_
- Avec une drague; dégrilleur; polymères et géotubes_x000D_
- 108.22 Tonnes de matières sèches / siccité moyenne de 2.15%_x000D_
Bassin3: _x000D_
- Du 24 au 25 avril_x000D_
- Avec une drague; dégrilleur; polymères et géotubes_x000D_
- 14.97 Tonnes de matières sèches / siccité moyenne de 2.17%_x000D_
Travaux effectués par Terrapure_x000D_
_x000D_
</t>
  </si>
  <si>
    <t>Vidange du bassin du stockage des boues, quantité de 2600 gallons. Boues disposées au CRTB de St-Joseph de Beauce.</t>
  </si>
  <si>
    <t>Vidange du bassin du stockage des boues, quantité de 3400 gallons. Boues disposées au CRTB de St-Joseph de Beauce.</t>
  </si>
  <si>
    <t xml:space="preserve">Vidange du bassin de stockage des boues par Sani-Echemin. Quantité : 3000 gallons_x000D_
Disposition des boues : CRTB de la MRC des Etchemins_x000D_
</t>
  </si>
  <si>
    <t>Ouvrage municipal d'assainissement des eaux usées de Saint-Stanislas (Mauricie)</t>
  </si>
  <si>
    <t>Saint-Stanislas</t>
  </si>
  <si>
    <t>Vidange des 3 cellules</t>
  </si>
  <si>
    <t>Transport par camion chez Bellemare Environnement à Trois-Rivières_x000D_
20 640 kg</t>
  </si>
  <si>
    <t>Ouvrage municipal d'assainissement des eaux usées de Saint-Sylvestre</t>
  </si>
  <si>
    <t>Saint-Sylvestre</t>
  </si>
  <si>
    <t xml:space="preserve">cellule 1: date début 22 juin, date fin 22 juin, effectué par dragage, quantité soutirée 313.59 m3, siccité moyenne 3.57%
cellule 2: date début 22 juin, date  fin 22 juin, effectué par dragage, quantité soutirée 332.80 m3, siccité moyenne 4.41%
cellule 3: date début 23 juin, date fin 23 juin, effectué par dragage, quantité soutirée 176.50 m3, siccité moyenne 3.98%
cellule 4: date début 23 juin, date fin 24 juin, effectué par dragage, quantité soutirée 241.90 m3, siccité moyenne 4.41% </t>
  </si>
  <si>
    <t>transport par camion citerne _x000D_
disposé aux champs: 451 m3 tonnes matière humide_x000D_
disposé dans une fosse prévu a cet effet: 613 m3 tonnes matière humide</t>
  </si>
  <si>
    <t>Ouvrage municipal d'assainissement des eaux usées de Saint-Théodore-d'Acton</t>
  </si>
  <si>
    <t>Saint-Théodore-d'Acton</t>
  </si>
  <si>
    <t>EN ATTENTE DES RÉSULTATS</t>
  </si>
  <si>
    <t>Ouvrage municipal d'assainissement des eaux usées de Saint-Thomas</t>
  </si>
  <si>
    <t>Saint-Thomas</t>
  </si>
  <si>
    <t>en attente  du rapport de la firme .</t>
  </si>
  <si>
    <t>en attente du rapport de la firme.</t>
  </si>
  <si>
    <t>Voir données au mois de juillet.</t>
  </si>
  <si>
    <t>bassin #1, date début: 14-06-2021 fin 19-06-2021_x000D_
dragage de l'étang, dégrillage et déshydratation des boues sur centrifugeuse_x000D_
527.36 tonnes de boues humide pour environ 2100 m3 _x000D_
24.7% pour 129.26 tonnes de matière sèche.</t>
  </si>
  <si>
    <t>valorisation agricole_x000D_
511, route du long-Sault à St-André d' Argenteuil_x000D_
527.36 TM de boues humide pour 2100 m3_x000D_
24.7% pour 129.26 TM de matière sèche</t>
  </si>
  <si>
    <t>1124 tonnes à la valorisation</t>
  </si>
  <si>
    <t>1189 tonnes valorisées</t>
  </si>
  <si>
    <t>Valorisation 991 tonnes</t>
  </si>
  <si>
    <t>1084 tonnes valorisées</t>
  </si>
  <si>
    <t>1049,34 tonnes valorisées</t>
  </si>
  <si>
    <t>1044,20 tonnes à la valorisation</t>
  </si>
  <si>
    <t>1099 tonnes à la valorisation</t>
  </si>
  <si>
    <t>894 tonnes valorisées</t>
  </si>
  <si>
    <t>637 tonnes valorisées</t>
  </si>
  <si>
    <t>Valorisation agricole 721,7 tonnes</t>
  </si>
  <si>
    <t>656,51 tonnes à la valorisation</t>
  </si>
  <si>
    <t>Ouvrage municipal d'assainissement des eaux usées de Shawinigan</t>
  </si>
  <si>
    <t>Shawinigan</t>
  </si>
  <si>
    <t>Ville de Shawinigan</t>
  </si>
  <si>
    <t>Étang 1, du 2021-10-26 au 2021-11-17 , dragage, dégrillage et centrifugation. 2032 TM de matières sèches, 37.47% de siccité (majoritairement extraction du sable dans l'entrée de l'étang 1). Matières retenues par le dégrilleur : 55.53 TM</t>
  </si>
  <si>
    <t>Épandage en champs. 2032 TM de matières sèches, 37.47% de siccité, étang 1 du 2021-10-26 au 2021-11-17 , dragage, dégrillage et centrifugation.</t>
  </si>
  <si>
    <t xml:space="preserve">Étang 1, du 2021-10-26 au 2021-11-17 , dragage, dégrillage et centrifugation. 2032 TM de matières sèches, 37.47% de siccité (majoritairement extraction du sable dans l'entrée de l'étang 1). Matières retenues par le dégrilleur : 55.53 TM_x000D_
</t>
  </si>
  <si>
    <t xml:space="preserve">Épandage en champs. 2032 TM de matières sèches, 37.47% de siccité, étang 1 du 2021-10-26 au 2021-11-17 , dragage, dégrillage et centrifugation._x000D_
</t>
  </si>
  <si>
    <t>Voir mois précédent.</t>
  </si>
  <si>
    <t xml:space="preserve">Disposition de 1195,7 TM de boue à 41% de siccité par la firme Viridis_x000D_
</t>
  </si>
  <si>
    <t xml:space="preserve">Disposition de 1217,8 TM de boue à 40,6% de siccité par la firme Viridis_x000D_
</t>
  </si>
  <si>
    <t xml:space="preserve">Disposition de 1437,5 TM de boue à 44,6 % de siccité par la firme Viridis_x000D_
</t>
  </si>
  <si>
    <t xml:space="preserve">Disposition de 1300,1 TM de boue à 42 % de siccité par la firme Viridis_x000D_
</t>
  </si>
  <si>
    <t xml:space="preserve">Disposition de 1408,4 TM de boue à 43,4% de siccité par la firme Viridis_x000D_
</t>
  </si>
  <si>
    <t xml:space="preserve">Disposition de 1568,8 TM de boue à 41,2% de siccité par la firme Viridis_x000D_
_x000D_
</t>
  </si>
  <si>
    <t xml:space="preserve">Disposition de 1493,2 TM de boue à 40,8% de siccité par la firme Viridis_x000D_
</t>
  </si>
  <si>
    <t xml:space="preserve">Disposition de 1386,4 TM de boue à 41,3% de siccité par la firme Viridis_x000D_
_x000D_
</t>
  </si>
  <si>
    <t xml:space="preserve">Disposition de 1394.2 TM de boue à 41.3 % de siccité par la firme Viridis_x000D_
</t>
  </si>
  <si>
    <t xml:space="preserve">Disposition de 1359,8 TM de boue à 41,6% de siccité par la firme Viridis_x000D_
_x000D_
</t>
  </si>
  <si>
    <t xml:space="preserve">Disposition de 1184,3 TM de boue à 42,5% de siccité par la firme Viridis_x000D_
</t>
  </si>
  <si>
    <t xml:space="preserve">Disposition de 1294,4 TM de boue à 41% de siccité par la firme Viridis_x000D_
</t>
  </si>
  <si>
    <t>Ouvrage municipal d'assainissement des eaux usées de Sherbrooke (Deauville)</t>
  </si>
  <si>
    <t>Entre-les 23 et 27 septembre 2021: vidange des boues de létangs no. 2, soutirage des boues par dragage avec déshydratation par centrifugeuse sur site (161.42 tonnes avec une siccité moyenne de 27.2%).</t>
  </si>
  <si>
    <t>Élimination des boues sur des terrains agricoles du 2ème rang à Sherbrooke et du 12ème rang à Val-Joli, soit 161.42 tonnes avec une siccité moyenne de 27.2%.</t>
  </si>
  <si>
    <t>Élimination des boues à la station d'épuration de Sherbrooke, volume total 202 m3, d'une siccité 4.7%.</t>
  </si>
  <si>
    <t>Élimination des boues à la station d'épuration de Sherbrooke, volume total 185 m3 avec une siccité de 5.2%.</t>
  </si>
  <si>
    <t>Élimination des boues à la station d'épuration de Sherbrooke, volume total 273 m3 avec une siccité 4.95%.</t>
  </si>
  <si>
    <t>Élimination des boues à la station d'épuration de Sherbrooke, volume de 235 m3 avec une siccité de 5,0 %.</t>
  </si>
  <si>
    <t>Élimination des boues à la station d'épuration de Sherbrooke, volume total de 250 m3 avec une siccité de 4.8%</t>
  </si>
  <si>
    <t>Les boues ont été éliminées à la station d'épuration de Sherbrooke. Volume total de 252 m3 avec une siccité de 5.07%.</t>
  </si>
  <si>
    <t xml:space="preserve">Élimination des boues à la station d'épuration de Sherbrooke. Volume total de 250 m3 avec une siccité de 4.3% </t>
  </si>
  <si>
    <t>Élimination des boues à la station d'épuration de Sherbrooke, volume total 231 m3 avec une une siccité de 4,11%</t>
  </si>
  <si>
    <t>Élimination des boues à la station d'épuration d'épuration de Sherbrooke. Volume total 221 m3 avec une siccité 4.5%.</t>
  </si>
  <si>
    <t>Élimination des boues à la station d'épuration de Sherbrooke. Volume de 222 M3 avec une siccité de 5.1%</t>
  </si>
  <si>
    <t>Élimination des boues à la station d'épuration de Sherbrooke. Volume total 250 m3 avec une siccité de 4.8%.</t>
  </si>
  <si>
    <t>Entre-les 1er et 18 octobre 2021: élimination des boues de létangs no. 3. Celles-ci avaient été soutirées lors de trois campagnes en 2010, 2014 et 2015, par dragage et entreposées dans un sac perméable permettant le drainage de leau (511.2 tonnes avec une siccité moyenne de 21.9%).</t>
  </si>
  <si>
    <t>Élimination des boues sur des terrains agricoles du chemin Dion à Sherbrooke, soit 511.2 tonnes avec une siccité moyenne de 21.9%.</t>
  </si>
  <si>
    <t>vidange le 03 -03-21</t>
  </si>
  <si>
    <t>disposition des boues de fosses septiques  / 5400 gallons_x000D_
vacuum 1 homme / 9 hres_x000D_
par enviro 5 inc.</t>
  </si>
  <si>
    <t>le 02 juillet, 2021</t>
  </si>
  <si>
    <t>5200 gallons, par enviro5</t>
  </si>
  <si>
    <t>Ouvrage municipal d'assainissement des eaux usées de Stanstead (Rock Island)</t>
  </si>
  <si>
    <t xml:space="preserve">Épandage, Mario Vaillancourt 1 : 817, route 143, Val-Joli, Mario Vaillancourt 2 : 198, 6 rang, St-Francois-Xavier-de Brompton, Martin Boisvert (Ferme Maroly) : 1102,route 251, St-Herménégilde. Boues évacuée 666.41 m3, Siccité 6 %. Début 21/03/19 Fin 21/10/13. </t>
  </si>
  <si>
    <t>Ouvrage municipal d'assainissement des eaux usées de Stoke</t>
  </si>
  <si>
    <t>Stoke</t>
  </si>
  <si>
    <t>Vidange complète des fosses septiques_x000D_
fait le 25 octobre_x000D_
75 m3</t>
  </si>
  <si>
    <t>pompe par camion vacuum_x000D_
75 m3 soutiré_x000D_
envoyé aux étang de Val des sources_x000D_
fait le 25 octobre</t>
  </si>
  <si>
    <t>Le bassin 2 et 3 ont été vidangé en 2020. Ils ont été mit dans des sac de rétention d'eau. Du 23 au 27 juin il y a eu 27 voyages par camion benne ,vers la ferme Porcine Alco inc. Au total 913.75 tonnes avec une siccité moyenne de 21.66%</t>
  </si>
  <si>
    <t xml:space="preserve">La vidange de 668.53 TMS de  boues a été effectuée à létang 2 ouest par la méthode de déshydratation passive du 23 septembre au 12 octobre 2021. Les sacs (Géotubes) ont été remplis dont 3 sacs de 120 pieds X 90 pieds, trois sacs de 100 pieds X 90 pieds et un sac de 100 pieds X 30 pieds._x000D_
Durant le remplissage des sacs, un des sacs de 120 pieds X 90 pieds a éclaté et le contenu de ce sac a été rapidement transféré vers le deuxième sac du même volume. Léclatement du géo-tube na pas des impacts sur le milieu environnement._x000D_
Les géo-tubes vont rester sur le lit de drainage pour être ouverts et le contenu valorisé en juin 2022. </t>
  </si>
  <si>
    <t xml:space="preserve">La vidange de 668.53 TMS de boues a été effectuée à létang 2 ouest par la méthode de déshydratation passive du 23 septembre au 12 octobre 2021. Les sacs (Géotubes) ont été remplis dont 3 sacs de 120 pieds X 90 pieds, trois sacs de 100 pieds X 90 pieds et un sac de 100 pieds X 30 pieds. Durant le remplissage des sacs, un des sacs de 120 pieds X 90 pieds a éclaté et le contenu de ce sac a été rapidement transféré vers le deuxième sac du même volume. Léclatement du géotube na pas des impacts sur le milieu environnement. Les géotubes vont rester sur le lit de drainage pour être ouverts et le contenu valorisé en juin 2022._x000D_
_x000D_
 </t>
  </si>
  <si>
    <t>La disposition sera effectuée en juin 2022.</t>
  </si>
  <si>
    <t>Ouvrage municipal d'assainissement des eaux usées de Terrebonne (La Plaine)</t>
  </si>
  <si>
    <t xml:space="preserve">Le vidange des boues par centrifugeuse de la cellule 3 a terminé en date du 23 décembre 2021. Un total de 143,5 TMS a été valorisé._x000D_
_x000D_
</t>
  </si>
  <si>
    <t>Un total de 143,5 TMS ont été valorisés par la compagnie Excent Environnement des boues déshydratées par centrifugeuse.</t>
  </si>
  <si>
    <t>21,7+23+20,7+22,5+21,1+20,7+16=145,7 tonnes de boues déshydratées et enfouies par Viridis Environnement avec une siccité d'environ 17,3%.</t>
  </si>
  <si>
    <t>18,6+17,4+20+21,3+18,2+19,8+13,1+22,2= 150,6 tonnes de boues déshydratées et enfouies par Viridis Environnement avec une siccité d'environ 18,8%</t>
  </si>
  <si>
    <t>20,3+21,4+20,9+22,3+19,4+21,5+19,8+21,3+19,1=186 tonnes de boues déshydratées et enfouies par Viridis Environnement avec une siccité d'environ 16%.</t>
  </si>
  <si>
    <t>16,5+17,6+17,2+17,6+17,7+22,5+20,2+18,7= 148 tonnes de boues déshydratées et enfouies par Viridis Environnement avec une siccité d'environ 17,6%</t>
  </si>
  <si>
    <t>20,4+16,2+20+19,5+21,4+20,9+21,3= 139,6 tonnes de boues déshydratées et enfouies par Viridis Environnement avec une siccité d'environ 17,1%</t>
  </si>
  <si>
    <t>20,5+20,7+20,4+21,9+21,1+19,3+20,5+22,2= 166,5 tonnes de boues déshydratées et enfouies par Viridis Environnement avec une siccité d'environ 17,7%</t>
  </si>
  <si>
    <t>21.8+22.9+17.5+23.2+20.8+22.4+24.4+20.2+19.3=192.5 tonnes de boues déshydratées et enfouies par Viridis Environnement avec une siccité d'environ 18%</t>
  </si>
  <si>
    <t>20,4+18,5+16,6+17,6+17,6+16,4+18,5+20+16,6+20,8= 165,5 tonnes de boues déshydratées et enfouies par Viridis Environnement avec une siccité d'environ 18,2%</t>
  </si>
  <si>
    <t>19,4+18,1+20,4+18,3+21,4+18,7+20,2+14,8=151,3 tonnes de boues déshydratées et enfouies par Viridis Environnement avec une siccité d'environ 17,4%</t>
  </si>
  <si>
    <t>20,3+19,2+10,1+13,9+20,2+13,8+14,3=111,9 tonnes de boues déshydratées et enfouies par Viridis Environnement avec une siccité d'environ 15,3%</t>
  </si>
  <si>
    <t>préfiltres : 0,13m3_x000D_
compartiment : 0,43m3_x000D_
_x000D_
Les boues ont été envoyées aux étangs de SMC.</t>
  </si>
  <si>
    <t>Disposition de boues prise en compte sous " Ouvrage municipal d'assainissement des eaux usées de Trois-Rivières (Sainte-Marthe)"</t>
  </si>
  <si>
    <t>compartiments : 11,10m3_x000D_
_x000D_
Les boues ont été envoyées aux étangs de SMC.</t>
  </si>
  <si>
    <t>Aucune boue comptabilisée ; elles ont été considérées comme disposées à l'affluent.</t>
  </si>
  <si>
    <t>Ouvrage municipal d'assainissement des eaux usées de Trois-Rivières (Saint-Louis)</t>
  </si>
  <si>
    <t xml:space="preserve">étang 2 : 9 juillet 2021- non terminé ; dragage et assèchement ; 333 tonnes (m3) de matières sèches ; 25 %_x000D_
</t>
  </si>
  <si>
    <t>valorisation agricole ; lieu de disposition disponibles sur demande ; 333 tonnes de matières sèches (m3) ; 25 % ; étang 2 ; 9 juillet - non terminé ; dragage et assèchement</t>
  </si>
  <si>
    <t>Étang 1 ; méthode par dragage ; 309 tms ; 25 % en moyenne_x000D_
Étang 2 ; méthode par dragage ; 80.67 tms ; 25% en moyenne_x000D_
Étang 2 ; méthode par assèchement ; 778 tms</t>
  </si>
  <si>
    <t>La totalité des boues a servie en valorisation agricole dans un seul site (PO21.6)</t>
  </si>
  <si>
    <t>La disposition des 778 TMS soumises à la méthode d'assèchement n'ont pas été considérées comme étant disposées ; elles seront possiblement disposées ultérieurement.</t>
  </si>
  <si>
    <t>Ouvrage municipal d'assainissement des eaux usées de Trois-Rivières (Valley Inn)</t>
  </si>
  <si>
    <t>préfiltres : 2,12m3  _x000D_
bassin dosage : 0,26m3_x000D_
_x000D_
Boues envoyées aux étangs de SMC.</t>
  </si>
  <si>
    <t>Étang 1A, 1er au 30 juin 2021 (en cours), par draguage et centrifugeuse, 9128 m3 de boues retirées à 25% de siccité moyenne (2282 TMS).</t>
  </si>
  <si>
    <t>Valorisation agricole dans 29 sites différents aux alentours des étangs de SMC.  La liste complète peut être obtenue sur demande.</t>
  </si>
  <si>
    <t>Étang 1A : 1er au 31 juillet 2021 ; par draguage et centrifugeuse ; 1256 m3 de boues retirées à 25% de siccité moyenne (314 TMS)._x000D_
Étang 1B : 1er au 31 juillet 2021 ; par draguage et centrifugeuse ; 4684 m3 de boues retirées à 25% de siccité moyenne (1171 TMS).</t>
  </si>
  <si>
    <t>La disposition des boues s'est faite par valorisation agricole._x000D_
Les boues ont été envoyées vers 19 sites.  La liste complète peut être obtenue sur demande.</t>
  </si>
  <si>
    <t xml:space="preserve">Projet de vidange des boues déshydratées géré par VIRIDIS - Mine BlackLake (Phase3) 200 Chemin de la Mine - 100m³ Boues déshydratées - siccité = 21% - boues provenant de la cellule #4 - Date de la vidange : 11/11/2021 - Transport par camion </t>
  </si>
  <si>
    <t>Les boues sont vidangées par camion vaccuum le 25 Novembre. Aucune siccité n'a cependant été mesurée</t>
  </si>
  <si>
    <t>Les boues sont traitées par floculation/décantation avec la méthode du DAB. Les boues ramassées à la sortie ont une siccité moyenne de 17% et sont disposées par valorisation agricole sur différentes fermes. La date de vidage est le 25 Novembre dans la chambre des préfiltres. Volume: 2.3m3</t>
  </si>
  <si>
    <t xml:space="preserve">Les boues ont été transportées par camion benne au site de compostage de la MRC, afin d'en faire du compost. La quantité de boues transportées est de 283,6 m3 avec une siccité moyenne de 14,0 %. </t>
  </si>
  <si>
    <t xml:space="preserve">Les boues ont été transportées par camion benne au site de compostage de la MRC, afin d'en faire du compost. La quantité de boues transportées est de 291.6 m3 avec une siccité moyenne de 13.9 %. </t>
  </si>
  <si>
    <t xml:space="preserve">Les boues ont été transportées par camion benne au site de compostage de la MRC, afin d'en faire du compost. La quantité de boues transportées est de 309,8 m3 avec une siccité moyenne de 14,9 %. </t>
  </si>
  <si>
    <t>Du 1er avril au 18 avril, Les boues ont été transportées par camion benne au site de compostage de la MRC, afin d'en faire du compost. La quantité de boues transportées est de 134,9 m3 avec une siccité moyenne de 15,2 %. Du 19 avril au 30 avril, les boues ont été transportées au site minier East-Sullivan, afin de faire la valorisation du terrain, la quantité transportée est de 177,5 m3 avec une siccité moyenne de 15,2%</t>
  </si>
  <si>
    <t>216,5 m3 de boues avec une siccité moyenne de 15,8 % ont étés transportés au site de compostage de la MRC de la vallée de l'or par camion benne.</t>
  </si>
  <si>
    <t>234,3 m3 de boues avec une siccité moyenne de 16,1 % ont étés transportés au site de compostage de la MRC de la vallée de l'or par camion benne.</t>
  </si>
  <si>
    <t>Les boues sont disposées par camion benne pour le composte du site d'enfouissement de la MRC de la vallée de l'or. 195,1 m3 avec une siccité moyenne de 16,6 %.</t>
  </si>
  <si>
    <t>Les boues sont transportées par camion benne au site d'enfouissement de la vallée de l'or pour le compostage. 146,2 m3 avec une siccité moyenne de 16,5% ont étés disposées.</t>
  </si>
  <si>
    <t>Du 1er sept au 10 sept, Les boues ont été transportées par camion benne au site de compostage de la MRC, afin d'en faire du compost. La quantité de boues transportées est de 73.7 m3 avec une siccité moyenne de 15,4 %. Du 14 sept au 30 sept, les boues ont été transportées au site minier East-Sullivan, afin de faire la valorisation du terrain, la quantité transportée est de 157,5 m3 avec une siccité moyenne de 15,5%</t>
  </si>
  <si>
    <t>Les boues ont étés transportés par camion benne au site de résidu minier de la East Sullivan. 253,1 m3 avec une siccité moyenne de 15.5 %.</t>
  </si>
  <si>
    <t xml:space="preserve">252,6 m3 de boues avec une siccité moyenne de 15.1 % ont étés transportés au site de compostage de la MRC de la vallée de l'or par camion benne._x000D_
</t>
  </si>
  <si>
    <t xml:space="preserve">194,8 m3 de boues avec une siccité moyenne de 14,8 % ont étés transportés au site de compostage de la MRC de la vallée de l'or par camion benne._x000D_
</t>
  </si>
  <si>
    <t xml:space="preserve">La vidange de la fosse à boues a été effectuée le 17 mars avec un camion vacuum pour un volume total de 10.2 mètre cube à une siccité moyenne de 1.2%. </t>
  </si>
  <si>
    <t>Les boues ont été envoyées dans les lagunes du site d'enfouissement de la MRC de la Vallée de l'Or le 17 mars dernier. Au total, 10,2 m3 de boues ont été enfouies gravitairement à l'aide d'un camion vaccum, les boues ont une siccité moyenne de 1,2%.</t>
  </si>
  <si>
    <t>La vidange de la fosse à boues a été effectuée le 12 mai dernier avec un camion vacuum pour un volume total de 10.2 mètre cube à une siccité moyenne de 1.2%.</t>
  </si>
  <si>
    <t>Les boues ont été envoyées dans les lagunes du site d'enfouissement de la MRC de la Vallée de l'Or le 12 mai dernier. Au total, 10,2 m3 de boues ont été enfouies gravitairement à l'aide d'un camion vaccum, les boues ont une siccité moyenne de 1,2%.</t>
  </si>
  <si>
    <t xml:space="preserve"> Le 13 juillet, vidange bassin #3 volume de 10 mètres cube, siccité d'environ 1.28% boues de déphosphatation.  À l'aide d'un camion vacuum et transporté au site d'enfouissement de la MRC de la Vallée de L'or et disposée dans la lagune. Le 14 juillet, vidange des fosses septique #1 et #2 en amont du bassin de pompage. </t>
  </si>
  <si>
    <t xml:space="preserve">Une vidange du bassin #3 à été fait le 9 août 2021 à l'aide du camion vacuum. Vidange de la fosse à boue le 9 août avec camion vaccum de 10 m3 avec une siccité de 1,52%._x000D_
</t>
  </si>
  <si>
    <t>La vidange du bassin # 3, le 9 août 2021 à été transporté par camion vacuum et disposer au lagune de la MRC de la vallée de l'or. Un volume de 10 mètre cube à une siccité moyenne de 1.52%.</t>
  </si>
  <si>
    <t>Vidange du bassin # 3 le 15 septembre 2021 à l'aide d'un camion vacuum. 10 mètre cube à une siccité moyenne de 1.6%. Vidange fosse septique bassin #1, 15 septembre volume environ 20 mètre cube eau boues et flottant, à l'aide d'un camion vacuum.</t>
  </si>
  <si>
    <t>Vidange du bassin # 3 le 15 septembre 2021 à l'aide d'un camion vacuum. 10 mètre cube à une siccité moyenne de 1.6%. Le camion à disposé des boues dans la lagune à la MRC de la vallée de l'or. Vidange fosse septique bassin #1, 15 septembre disposition usine d'épuration de la ville de Val-D'or environ 20 mètre cube eau, boue et flottant à l'aide d'un camion vacuum.</t>
  </si>
  <si>
    <t>25 octobre 10m3 vidangé dans la fosse à boue avec une siccité moyenne de 1.5% avec camion vaccum.</t>
  </si>
  <si>
    <t>25 octobre 10m3 vidangé dans la fosse à boue avec une siccité moyenne de 1.5% avec camion vaccum. Elles sont transférés au site d'enfouissement de la MRC de la vallée de l'or.</t>
  </si>
  <si>
    <t>Le 25 novembre, vidange de la fosse à boue, 10 m3 avec un camion vacuum envoyé au site d'enfouissement de la vallée de l'or. Siccité moyenne de 1.04%.</t>
  </si>
  <si>
    <t>Le soutirage de boue s'est effectuée dans le bassin no 4, le 17 mai dernier à l'aide d'un camion vacuum. 25,87 m3 de boues à été soutirée, avec une siccité moyenne de 2,62%.</t>
  </si>
  <si>
    <t>Les boues ont été transportées par camion benne au site de disposition des boues sceptique de la MRC de la Vallée de l'or, afin de les enfouirs. La quantité de boues transportées est de 25,87 m3 avec une siccité moyenne de 2,62 %. Les boues ont été soutirées du bassin no4 à l'aide d'un camion vacuum, le tout s'est effectué le 17 mai dernier.</t>
  </si>
  <si>
    <t xml:space="preserve">Le 14 septembre 2021, vidange des boues dans le dernier quart du bassin # 4. 39.83 mètre cube de boues à une siccité moyenne de 4.44 % ont été soutirées à l'aide d'un camion vacuum.  </t>
  </si>
  <si>
    <t xml:space="preserve">le 14 septembre, vidange du bassin # 4 39.83 mètre cube de boues à une siccité moyenne de 4.44 % ont été transportée dans la lagune de la MRC de la vallée de l'or avec un camion vacuum. </t>
  </si>
  <si>
    <t>Ouvrage municipal d'assainissement des eaux usées de Val-Morin (Domaine Val-Morin)</t>
  </si>
  <si>
    <t>Val-Morin</t>
  </si>
  <si>
    <t xml:space="preserve">Vidange de 25m3 de boues dans la fosse septique. Effectuée le 9-12-2021 par camion vacuum de la compagnie Sani-Nord </t>
  </si>
  <si>
    <t>Les boues ont été disposée et traitée pas la compagnie Sani Nord</t>
  </si>
  <si>
    <t xml:space="preserve">17 juin 2021: Début de la vidange des boues de l'étang #3._x000D_
Siccité moyenne selon Terrapure: 25.07%_x000D_
Siccité moyenne selon Ville: 25.14%_x000D_
Méthode utilisée: Dragage, déshydratation par centrifugeuse_x000D_
26 Juin 2021: Fin de la vidange des boues de l'étang #3_x000D_
_x000D_
_x000D_
28 Juin 2021: Début de la vidange des boues de l'étang #2_x000D_
Siccité moyenne selon Terrapure: 24.00%_x000D_
Siccité moyenne selon Ville: 24.45%_x000D_
Méthode utilisée: Dragage, déshydratation par centrifugeuse_x000D_
4 juillet 2021: Fin de la vidange des boues de l'étang #2_x000D_
</t>
  </si>
  <si>
    <t xml:space="preserve">ÉTANG #3
Méthode de disposition: Recyclage agricole
Lieux de disposition:
#1 Sylvio Lavallée (450-583-6277)
     475 Rang Beauce, Calixa-Lavallée, J0L 1A0
#2: Martin Larose (450-652-0967)
     1864 St-Laurent, Saint-Bruno-de-Montarville, J3V 4Z2
#3: Les entreprises Olipro Inc
      4045 Lavoisier, Boisbriand, J7H 1N1
Quantité de boues : 1984,51 tonnes humide, 497,60 tonnes sèches
Siccité moyenne selon Terrapure: 25.07%
Siccité moyenne selon Ville: 25.14%
17 juin 2021: Début de la vidange des boues de l'étang #3.
26 Juin 2021: Fin de la vidange des boues de l'étang #3
-------------------------------------------------------------------
ÉTANG #2
Méthode de disposition: Recyclage agricole
Lieux de disposition: 
#1 Sylvio Lavallée (450-583-6277)
     475 Rang Beauce, Calixa-Lavallée, J0L 1A0
#2: Martin Larose (450-652-0967)
     1864 St-Laurent, Saint-Bruno-de-Montarville, J3V 4Z2
#3: Les entreprises Olipro Inc
      4045 Lavoisier, Boisbriand, J7H 1N1
#4: Daniel Duhamel
      295 Haut des Terres Noires, Verchères J0L 2R0
#5: Groupe Van Velzen (Pierre-Paul 450-655-2593)
      1195 ch. d'Anjou, Boucherville, J4B 5E4
Quantité de boues : 2114.95 tonnes humide, 507.65 tonnes sèches
Siccité moyenne selon Terrapure: 24.00%
Siccité moyenne selon Ville: 24.45%
Méthode utilisée: Dragage, déshydratation par centrifugeuse
</t>
  </si>
  <si>
    <t xml:space="preserve">Bassin #2					_x000D_
Date de début: 28 juin 2021					_x000D_
Date de fin de vidange: 4 Juillet 20201					_x000D_
Méthode utilisée: Dragage, déshydratation par centrifugeuse					_x000D_
Quantité soutirée: 1066 tonnes					_x000D_
Siccité moyenne: 24,83% après pressage.					_x000D_
TMS: 264,7 tonnes					_x000D_
_x000D_
Bassin #1					_x000D_
Date de début: 25 juillet 2021					_x000D_
Date de fin de vidange: 30 Juillet 2021					_x000D_
Méthode utilisée: Dragage, déshydratation par centrifugeuse					_x000D_
Quantité soutirée: 677,7 tonnes					_x000D_
Siccité à 37,82% (beaucoup de sable)					_x000D_
TMS: 266,5 Tonnes 					_x000D_
</t>
  </si>
  <si>
    <t xml:space="preserve">Bassin #2					_x000D_
Date de début: 28 juin 2021					_x000D_
Date de fin de vidange: 4 Juillet 20201					_x000D_
Méthode utilisée: Dragage, déshydratation par centrifugeuse					_x000D_
Quantité soutirée: 1066 tonnes					_x000D_
Siccité moyenne: 24,83% après pressage.					_x000D_
TMS: 264,7 tonnes					_x000D_
295 Haut des Terres Noires, Verchères J0L 2R0, Daniel Duhamel					_x000D_
475 Rang Beauce, Calixa-Lavallée, J0L 1A0, Sylvio Lavallée (450-583-6277)					_x000D_
1864 St-Laurent, Saint-Bruno-de-Montarville, J3V 4Z2, Martin Larose (450-652-0967)					_x000D_
1195 ch. d'Anjou, Boucherville, J4B 5E4, Groupe Van Velzen (Pierre-Paul 450-655-2593)					_x000D_
_x000D_
Bassin #1					_x000D_
Date de début: 25 juillet 2021					_x000D_
Date de fin de vidange: 30 Juillet 2021					_x000D_
Méthode utilisée: Dragage, déshydratation par centrifugeuse					_x000D_
Quantité soutirée: 677,7 tonnes					_x000D_
Siccité à 37,82% (beaucoup de sable)					_x000D_
TMS: 266,5 Tonnes 					_x000D_
295 Haut des Terres Noires, Verchères, J0L 2R0, Daniel Duhamel				</t>
  </si>
  <si>
    <t>Les boues de l'usine de Vaudreuil-Dorion sont déshydratées par tambour rotatif et centrifugeuse. Le volume total de boues du mois de janvier est de 512,00 tonnes humides à une siccité moyenne de 20,2%. Les boues sont valorisées par Viridis Environnement . 12 Tonnes sont allées chez Les Fermes Lebec inc. et 500 tonnes sont allées chex les gazons Ste-Julie Ltée 67-les Côteaux.</t>
  </si>
  <si>
    <t>Les boues de Vaudreuil-Dorion sont déshydratées par tambours rotatif et centrifugeuse. le volume total de boues du mois de février est de 475,74 tonnes humides à une siccité moyenne de 20.9 % . Les boues ont été valorisée par Viridis Environnement . 45,14 tonnes sont allés chez Les Fermes Lebec inc. / structure ; 91,4 tonnes sont allées chez Les Gazons Ste-Julie site 67-Les Côteaux ; 97,27 tonnes sont allées chez Patrice Dumont Legault ( Prestige D.L. ) site 9 et 241,93 tonnes sont allées chez Fermes Yves Sauvé Inc. site 9 .</t>
  </si>
  <si>
    <t>Les boues de Vaudreuil-Dorion ont été déshydratées par tambour rotatif et centrifugeuse. La quantité de boues produites en mars est de 529,14 tonnes à une siccité moyenne de 21,1 % . Les boues ont été valorisées par Viridis Environnement . 336,71 tonnes sont allés chez Les Fermes Lebec Inc. Structure et 192,43 tonnes sont allés chez Patrice Dumont Legault site de réception 9 .</t>
  </si>
  <si>
    <t>Les boues de Vaudreuil-Dorion sont déshydratées par tambour rotatif et centrifugeuse. Les boues sont valorisées par Viridis Environnement inc. . Le total de boues valorisées au mois d'avril est de 544,61 tonnes humides . 513,22 Tonnes sont allées chez Les Fermes Lebec inc. et 31,39 tonnes chez Patrice Dumont legault ( prestige D.L. ) .</t>
  </si>
  <si>
    <t>La siccité indiquée correspond à la moyenne mensuelle des 11 autres mois.</t>
  </si>
  <si>
    <t>Les boues de Vaudreuil-Dorion sont déshydratée par tambour rotatif et centrifugeuse. Les boues sont valorisées par Viridis Environnement . Le total du mois de mai est de 610,22 tonnes humides à une siccité moyenne de 21,4 % . 161,5 tonnes sont allés chez Les Fermes Lebec inc. . 10 tonnes sont allés chez Sanexen site compostage montréal. 438,72 tonnes sont allées Patrice Dumont Legault site de réception 11A.</t>
  </si>
  <si>
    <t xml:space="preserve">les boues de Vaudreuil-Dorion sont déshydratées par tambour rotatif et centrifugeuse. Le tonnage total du mois de juin est de 487,69 tonnes humides à une siccité moyenne de 21,9 % . Les boues ont été valorisée par Viridis Environnement et Matrec . 325,96 tonnes sont allés chez Les Fermes lebec inc. / Structure ; 45,71 tonnes sont allés chez Néo M.Groulx les Cèdres Champs 2 ; 23,39 tonnes sont allés chez M. Lauzon Rigaud Champs 1 et 92,58 tonnes sont allés chez M. Lauzon Rigaud champs 29 . </t>
  </si>
  <si>
    <t>Les boues de Vaudreuil-Dorion sont déshydratées par tambour rotatif et centrifugeuse . Les boues sont valorisées par Matrec et Néo Environnement. Le tonnage total du mois de juillet est de 519,27 Tonnes humides à une siccité moyenne de 22,3 % . 61,53 T. sont allés chez Néo M. Groulx les Cèdres Champs 2 ; 301,72 T. sont allés au Champs 37 ; 33,27 T. sont allées chez M. Gamelin à St-Polycarpe Champs 20; 34,67 T. sont allés chez M. Lauzon Champs 1 à Rigaud et 88,08 T. sont allés chez M. Lauzon Champs 29 à Rigaud.</t>
  </si>
  <si>
    <t>Les boues de la station sont déshydratée par tambours rotatifs et centrifugeuses. Le tonnage total du mois d'août est de 518,51 Tonnes de boues à une siccité moyenne de 21,8 %. Les boues sont valorisées par Matrec et néo Environnement. 74,9 T. sont allées chez Néo M.Groulx les Cèdres Champs 2 . 72,84 t. sont allées chez Néo m.Groulx les Cèdres Champs 37. 86,61 t. sont allées chez M. Gamelin St-Polycarpe, Champs 20. 221,18 T. sont allées chez M.Gamelin St-Polycarpe champs 5 . 12,56 T. sont allées chez M. Legault new Erin Godmanchester . 50,42 t. sont allées chez M.Lauzon Rigaud Champ 1 .</t>
  </si>
  <si>
    <t>Les boues de Vaudreuil-Dorion sont déshydratées par tambour rotatif et centrifugeuse. Les boues sont valorisées par Matrec et Néoenvironnement . Pour le mois de septembre l'usine a produit 544,88 tonnes de boues humides à une siccité moyenne de 21,5 % . 213,62 T. sont allées chez Néo M.Groulx les Cèdres Champs 2 ; 35,40 T. sont allées chez Néo M. Groulx les Cèdres Champs 37 ; 244,16 T. sont allées chez M. Gamelin St-Polycarpe Champs 20 ; 13,09 T. sont allées chez M. Gamelin St-Polycarpe champs 5 ; 26,14 T. sont allées chez M. Legault New Erin Goodmanchester fosse ; et 12,47 T. sont allées chez M. Lauzon Rigaud Champs 29</t>
  </si>
  <si>
    <t>Les boues de Vaudreuil-Dorion sont déshydratée par tambour rotatif et centrifugeuse. Les boues sont ensuite revalorisée par Matrec . le tonnage total produit du mois d'octobre est de 501,17 tonnes humides à une siccité moyenne de 20,3 % . 352,79 tonnes sonnt allées chez Néo M.Groulx les Cèdres champs # 2 ; 97,77 tonnes sont allées chez M.Gamelin St-Polycarpe champs 20 et 50,61 tonnes sont allées chez M.Lauzon Rigaud champs 29.</t>
  </si>
  <si>
    <t xml:space="preserve">Les boues de Vaudreuil-Dorion sont déhydratées par centrifugeuse et tambour rotatif. Les boues sont valorisées par Matrec et NéoEnvironnement. Le tonnage total produit du mois de novembre est de 484,21 tonnes humides à une siccité moyenne de 20,5 % . 95,44 T. sont allés chez Néo M. Groulx les Cèdres Champs 2. 65,90 T. sont allés chez M. Séguin St-Rédempteur Champs 1 . 89,91 T. sont allés chez M. Campeau St-Marthe Champs 3 . 111,02 T. sont allés chez M. Séguin St-Rédempteur Champs BM6 . 121,94 t. sont allés chez M. Legault New Erin Goodmanchester fosse . </t>
  </si>
  <si>
    <t>Les boues de Vaudreuil-Dorion ont été déshydratée par tambour rotatif et centrifugeuse. Le total de boues produites est de 555,01 tonnes humides à une siccité moyenne de 21,4 % . Les boues ont été ensuite valorisées par Matrec et Néo Environnement. 70,61 tonnes sont allées chez M. Séguin, St-Rédempteur , Champs 1 ; 382,60 tonnes sont allées chez M. Campeau , Ste-Marthe , Champs 3 et 103,80 tonnes sont allées chez M. Séguin , St-Rédempteiur , Champs BM6 .</t>
  </si>
  <si>
    <t>869.79 tm humide à 17.52% de siccité envoyées au site de compostage de Gesterra à St-Rosaire.</t>
  </si>
  <si>
    <t>1038 tm humide à 16.8% envoyées au site de compostage de Gesterra à St-Rosaire</t>
  </si>
  <si>
    <t>1236.05 tm à 16.52% envoyées au site de compostage de Gesterra à St-Rosaire et au site de Coop Carbone à Warwick pour méthanisation.</t>
  </si>
  <si>
    <t>En raison du manque de précision, le tonnage a été réparti également entre "Compostage" et "biométhanisation".</t>
  </si>
  <si>
    <t>893.13 tm. à 17.17% de siccité envoyées chez Gesterra à St-Rosaire</t>
  </si>
  <si>
    <t>1143.78 tm. à 16.77% de siccité envoyées à la méthanisation chez Coop Carbonne à Warwick et au compostage chez Gesterra à St-Rosaire.</t>
  </si>
  <si>
    <t>1124.97 tm envoyées en compostage au site de Gesterra à St-Rosaire et en méthanisation chez Coop Carbone à Warwick</t>
  </si>
  <si>
    <t>1187.91 tm à 18.07% de siccité - Compostage et valorisation et envoyées au site de Gesterra à St-Rosaire.</t>
  </si>
  <si>
    <t>924.58 tmh à 16.28% de siccité envoyées à la méthanisation chez Coop Carbone à Warwick et en valorisation chez Gesterra à St-Rosaire</t>
  </si>
  <si>
    <t>306.9 tm envoyées chez Gesterra à St-Rosaire pour valorisation et  571.67 envoyées en méthanisation chez Coop Carbone à Warwick</t>
  </si>
  <si>
    <t>872.83 tm humides envoyées chez Gesterra pour valorisation et chez Coop Carbone pour méthanisation</t>
  </si>
  <si>
    <t>872.82 tm humides à 15.57% envoyées en valorisation chez Gesterra à St-Rosaire et à la méthanisation chez Coop Carbone à Warwick</t>
  </si>
  <si>
    <t>414.75 tm. humides à 18.19% de siccité en valorisation avec Gesterra à St-Rosaire et 622.27 tm. humides à 15.9% en méthanisation chez Coop Carbone à Warwick</t>
  </si>
  <si>
    <t xml:space="preserve">Bassin # 2, jour de Juin (29 et 30), Nombre d'heures en fonction (16h), Pompe à boue (machine)_x000D_
</t>
  </si>
  <si>
    <t xml:space="preserve">Bassin # 2, jour de mois (mettre les 5-6-7-8-12-13-14-15-19-20-21-22-26-27-28-29 et 30, Nombre d'heures en fonction 134 h 45  Pompe à boue (machine)_x000D_
</t>
  </si>
  <si>
    <t xml:space="preserve">Bassin # 2, jour de mois (mettre les date 2,3,4,5,9,10,16,18,19 et 20), Nombre d'heures en fonction (75 h), Pompe à boue (machine)_x000D_
</t>
  </si>
  <si>
    <t xml:space="preserve">Bassin # 2, jour d'octobre (mettre les date 5-6-7-12 &amp; 13), Nombre d'heures en fonction (40h), Pompe à boue (machine)_x000D_
</t>
  </si>
  <si>
    <t>Ouvrage municipal d'assainissement des eaux usées de Waterville</t>
  </si>
  <si>
    <t>Waterville</t>
  </si>
  <si>
    <t>Bassin : No. 3_x000D_
Dates de début et fin : 10 au 14 novembre_x000D_
Méthode utilisée : Sac_x000D_
Quantité sortie : 61,17 m3_x000D_
Siccité moyenne : +/- 3%, voir rapport en pièce jointe.</t>
  </si>
  <si>
    <t xml:space="preserve">Méthode: Camion benne, pelle mécanique
Lieu: LES ENTREPRISES GUILMAIN ET FILS INC. St-Hyacinthe
qté m3 : 653 m3
Siccité : 20%
Cellules : 1 et 2
Date : du 19 au 27 octobre
Méthode : Drague flottante </t>
  </si>
  <si>
    <t xml:space="preserve">Épandage agricole. Disposé à 2 sites, 187 tmh Ferme des Cèdres senc 341, rue de l'église Saint-Francois Xavier de Brompton, et 772 tmh Ferme Lemay senc 663, ch du 2e rang Sherbrooke. La moyenne des siccités = 27 %. Le bassin No 1 fût vidangé le 4-08-2020 au 13-8-2020 et les boues ont été disposées pendant 1 ans dans le lit de séchage de la station d'épuration, la méthode utilisée était par draguage._x000D_
</t>
  </si>
  <si>
    <t>Ouvrage municipal d'assainissement des eaux usées de Wotton</t>
  </si>
  <si>
    <t>Wotton</t>
  </si>
  <si>
    <t>vidange de la cellule 1, le 7 et 8 juin 2021, par dragage, 1574 mètres cube, siccité moyenne: 4.03%</t>
  </si>
  <si>
    <t>Les boues ont été disposées chez un agriculteur du coin, 1574 mètres cube le 7 et 8 juin 2021 par dragage de la cellule 1 à siccité moyenne de 4.03%.</t>
  </si>
  <si>
    <t>Pompage de 3566 m3 de boues liquide à 3,5 % de siccité vers le lit de gel-dégel séchage. (du 11 au 19 juin 2021)</t>
  </si>
  <si>
    <t>Vidage des boues ayant reçu cycle de gel-dégel séchage de l'année 2019 et 2020, vidange réalisée par la firme viridis.</t>
  </si>
  <si>
    <t>En raison du manque de données pour l'année 2019, seules les boues vidangées en 2020 et valorisées en 2021 sont comptabilisées, soit l'équivalent de 290 tonnes de matières sèches, ramenées à 20 % de matières sèches.</t>
  </si>
  <si>
    <t>Pompage de 1977 m3 de boues liquide è 3 % de siccité de l'étang PM-1 vers le lit de gel dégel séchage</t>
  </si>
  <si>
    <t>Pompage de 2213 m3 de boues liquide à 3 % de siccité de l'étang PM-1</t>
  </si>
  <si>
    <t>Ouvrage municipal d'assainissement des eaux usées d'Eastman</t>
  </si>
  <si>
    <t>Eastman</t>
  </si>
  <si>
    <t>Bassin 1. Début 21/10/08 Fin 21/10/13. Géotube. 786 m3 soutiré. Siccité 3.9 %. Bassin 2. Début 21/10/6 Fin 21/10/7. Géotube. 983 m3 soutiré. Siccité 2.9 %.</t>
  </si>
  <si>
    <t xml:space="preserve">Vidange du digesteur les 18-19 mai 2021 par camion vaccum_x000D_
Lieu de disposition: Roxton Pond_x000D_
Quantité: 38 541 gallons_x000D_
Siccité: 4.2_x000D_
</t>
  </si>
  <si>
    <t xml:space="preserve">Lieu de disposition: Roxton Pond_x000D_
Quantité de boues: 156 720 Kg_x000D_
Siccité:_x000D_
Digesteur, 4-5-6 Août 2021, par camion vaccum_x000D_
</t>
  </si>
  <si>
    <t>Lieu de disposition: Roxtond Pond_x000D_
Quantité de boues: 117 770Kg, Siccité: 6%_x000D_
Lieu de vidange: Digesteur_x000D_
Date: 22 novembre 2021</t>
  </si>
  <si>
    <t xml:space="preserve">Réacteurs biologiques séquentiels nos 1, 2, 3 et 4._x000D_
du 1er au 31 janvier_x000D_
Purge de boues à chaque séquences par réacteur, boues ensuite accumulées dans le bassin de stockage de boues._x000D_
Mesures quotidiennes des purges avec débitmètre, un volume total de 128,6 m3 soutiré pour le mois_x000D_
</t>
  </si>
  <si>
    <t xml:space="preserve">Déshydratation par filtre à bande, centre de transfert de Vaudreuil et site d'enfouissement_x000D_
Quantité transférée totale : 118,5 m3 _x000D_
Siccité moyenne: 15,2%_x000D_
Vidange par benne à boue, du 1er au 31 janvier_x000D_
</t>
  </si>
  <si>
    <t xml:space="preserve">Réacteurs biologiques séquentiels nos 1, 2, 3 et 4_x000D_
du 1er au 28 février_x000D_
Purge de boues à chaque séquence par réacteurs, pompe à boues, ensuite  boues accumulées dans le bassin de stockage de boues._x000D_
Mesures quotidiennes des purges avec un volume total de 115 m3 de boues soutirées._x000D_
</t>
  </si>
  <si>
    <t xml:space="preserve">Déshydratation par filtre à bande, centre de transfert Vaudreuil et site d'enfouissement_x000D_
Quantité soutirée totale : 102,9 m3 _x000D_
Siccité moyenne: 15,83%_x000D_
Vidange par benne à boues, du 1er au 28 février_x000D_
</t>
  </si>
  <si>
    <t>Réacteurs biologiques séquentiels nos 1, 2, 3, et 4_x000D_
du 1er au 31 mars_x000D_
Purge de boues à chaque séquence par pompe à boues vers bassin de stockage de boues _x000D_
Mesures quotidiennes avec un total de 154,5 m3 extrait.</t>
  </si>
  <si>
    <t>Déshydratation par filtre à bande, centre de transfert Vaudreuil et site d'enfouissement._x000D_
Quantité soutirée totale : 93,1 m3 _x000D_
Siccité moyenne: 16%_x000D_
Vidange par benne à boues, du 1er au 31 mars</t>
  </si>
  <si>
    <t xml:space="preserve">Réacteurs biologiques séquentiels #1,#2,#3 et # 4_x000D_
du 1er au 30 avril_x000D_
Purge de boues à chaque séquence par réacteur: pompe à boues ensuite accumulées dans le bassin de stockage de boues_x000D_
Mesures quotidiennes des purges avec débitmètre, un volume total de 103,3 m3 soutiré pour le mois_x000D_
</t>
  </si>
  <si>
    <t>Déshydratation par filtre à bande, centre de transft Vaudreuil et site d'enfouissement_x000D_
Quantité soutirée totale : 97,8 m3 _x000D_
Siccité moyenne: 14,17%_x000D_
Vidange par benne à boues, du 1er au 30 avril</t>
  </si>
  <si>
    <t xml:space="preserve">Réacteurs biologiques séquentiels nos 1, 2, 3 et 4_x000D_
du 1er au 31 mai_x000D_
Purge de boues à chaque séquence par réacteur: pompe à boues ensuite accumulées dans le bassin de stockage de boues_x000D_
Mesures quotidiennes des purges avec débitmètre, un volume total de 125,3 m3 soutiré pour le mois_x000D_
</t>
  </si>
  <si>
    <t xml:space="preserve">Déshydratation par filtre à bande, centre de transfèrt Vaudreuil et site d'enfouissement_x000D_
Quantité soutirée totale : 102,9 m3 _x000D_
Siccité moyenne: 13,6 %_x000D_
Vidange par benne à boue, du 1er au 31 mai_x000D_
</t>
  </si>
  <si>
    <t xml:space="preserve">Réacteurs biologiques séquentiels nos1, 2, 3 et 4._x000D_
du 1er au 30 juin_x000D_
Purge de boues à chaque séquence par réacteur: pompe à boues ensuite accumulées dans le bassin de stockage de boues._x000D_
Mesures quotidiennes des purges avec débitmètre, un volume total de 202,1 m3 soutiré pour le mois_x000D_
</t>
  </si>
  <si>
    <t xml:space="preserve">Déshydratation par filtre à bande, centre de transfert Vaudreuil et site d'enfouissement_x000D_
Quantité soutirée totale : 184,6 m3 _x000D_
Siccité moyenne: 14,86%_x000D_
Vidange par benne à boues, du 1er au 30 juin_x000D_
</t>
  </si>
  <si>
    <t>Réacteurs biologiques séquentiels nos 1, 2, 3 et 4_x000D_
du 1er au 31 juillet_x000D_
Purge de boue à chaque séquence par réacteur: pompe à boues ensuite accumulées dans le bassin de stockage de boues_x000D_
Mesures quotidiennes des purges avec débitmètre, un volume total de 202,1 m3 soutiré pour le mois</t>
  </si>
  <si>
    <t>Déshydratation par filtre à bande, centre de transfert Vaudreuil et site d'enfouissement_x000D_
Quantité soutirée totale : 184,6  m3 _x000D_
Siccité moyenne: 14%_x000D_
Vidange par benne à boues, du 1er au 31 juillet</t>
  </si>
  <si>
    <t xml:space="preserve">Réacteurs biologiques séquentiels nos 1, 2, 3 et 4_x000D_
du 1er au 31 août_x000D_
Purge de boue à chaque séquence par réacteur: pompe à boues ensuite accumulées dans le bassin de stockage de boues_x000D_
Mesures quotidiennes des purges avec débitmètre, un volume total de  271,7 m3 soutiré pour le mois_x000D_
</t>
  </si>
  <si>
    <t xml:space="preserve">Déshydratation par filtre à bande, centre de transfert Vaudreuil et site d'enfouissement_x000D_
Quantité soutirée totale : 252,7 m3 _x000D_
Siccité moyenne: 15.5%_x000D_
Vidange par benne à boues, du 1er au 31 août_x000D_
</t>
  </si>
  <si>
    <t>Réacteurs biologiques séquentiels nos 1, 2, 3 et 4_x000D_
du 1er au 30 septembre_x000D_
Purge de boues à chaque séquence par réacteur: pompe à boues ensuite accumulées dans le bassin de stockage de boues_x000D_
Mesures quotidiennes des purges avec débitmètre, un volume total de 272,6 m3 soutiré pour le mois</t>
  </si>
  <si>
    <t xml:space="preserve">Déshydratation par filtre à bande, centre de transfert Vaudreuil et site d'enfouissement_x000D_
Quantité soutirée totale : 251,5 m3 _x000D_
Siccité moyenne: 15,83%_x000D_
Vidange par benne à boues, du 1er au 30 septembre_x000D_
</t>
  </si>
  <si>
    <t xml:space="preserve">Réacteurs biologiques séquentiels nos 1, 2, 3 et 4_x000D_
du 1er au 31 octobre_x000D_
Purge de boues à chaque séquences par réacteur: pompe à boues ensuite accumulées dans le bassin de stockage de boues._x000D_
Mesures quotidiennes des purges avec débitmètre, un volume total de 248,6 m3 soutiré pour le mois._x000D_
</t>
  </si>
  <si>
    <t xml:space="preserve">Déshydratation par Filtre à bande, centre de transfert Vaudreuil et site d'enfouissement_x000D_
Quantité soutirée totale : 102,9 m3 _x000D_
Siccité moyenne: 13,52%_x000D_
Vidange par benne à boues, du 1er au 31 octobre_x000D_
</t>
  </si>
  <si>
    <t>Ouvrage municipal d'assainissement des eaux usées Les Îles (Cap-aux-Meules)</t>
  </si>
  <si>
    <t>bassin1: début le 22-09-2021 fin le 02-10-2021_x000D_
             travaux effectue par Terra pure_x000D_
             8906.78m3 on été soutirée  siccité moyenne de 2.63%_x000D_
bassin2: début le 03-10-2021  fin le 10-10-2021_x000D_
              4784.25m3 on été soutirée    siccité moyenne de 2.73%_x000D_
bassin3: début le 12-10-2021  fin le 14-10-2021_x000D_
              1320.97m3 on été soutirée     siccité moyenne de 1,74%</t>
  </si>
  <si>
    <t>toujours dans les gros sacs extraction   installer sur le lit de séchage déjà sur place</t>
  </si>
  <si>
    <t>Bassins: Fosses septiques, Bassin d'alun et bassin d'effluent final. Date: 30 novembre 2021. Vidange des boues et des écumes effectuée par Enviro5 . Quantité: 22 900kg de boues liquides.</t>
  </si>
  <si>
    <t>Disposition: vers ECC Environnement qui se charge du traitement des boues des fosses septiques, du bassin d'alun et du bassin d'effluent final. Quantité: 22 900kg de boues liquides. Date: 30 novembre 2021</t>
  </si>
  <si>
    <t>Ces données sont celles du mois précédent. Elles ont tout de même été comptabilisées. Cet ouvrage traite principalement des boues de la papetière Kruger située à Crabtree. Une proportion de 6 % de boues municipales (contre 94 % de boues de papetière) a été prise en compte dans l'estimation des tonnages.</t>
  </si>
  <si>
    <r>
      <rPr>
        <b/>
        <sz val="10"/>
        <rFont val="Arial"/>
        <family val="2"/>
      </rPr>
      <t>Limites :</t>
    </r>
    <r>
      <rPr>
        <sz val="10"/>
        <rFont val="Arial"/>
        <family val="2"/>
      </rPr>
      <t xml:space="preserve"> Notez que ces données présentent des limites puisque les quantités des boues ainsi que leur mode de disposition ne sont pas des informations à déclaration obligatoire dans le cadre du programme de suivi de l’exploitation des ouvrages municipaux d’assainissement des eaux usées (OMAEU) au regard du Règlement sur les ouvrages municipaux d’assainissement des eaux usées. Par conséquent, certaines informations peuvent être absentes, erronées ou incomplètes. Des notes explicatives ont été ajoutées dans le tableau (en bleu) afin d'aider à interpréter les données telles que compilées par RECYC-QUÉBEC. Enfin, il est recommandé de communiquer avec le ou les exploitants des OMAEU afin d’obtenir ou de confirmer certaines données, selon le cas.</t>
    </r>
  </si>
  <si>
    <t>Données de suivi d’exploitation des ouvrages municipaux d’assainissement des 
eaux usées (OMAEU)</t>
  </si>
  <si>
    <t>Les données présentées dans les onglets suivants proviennent des déclarations mensuelles des exploitants d’ouvrages municipaux d’assainissement des eaux usées au Système de Suivi des ouvrages municipaux d'assainissement des eaux usées (SOMAEU), sous la responsabilité du ministère de l’Environnement et de la Lutte contre les changements climatiques, de la Faune et des Parcs (MELCCFP). La compilation de celles-ci a été effectuée par RECYC-QUÉBEC.
Les données pour les années subséquentes seront rendues disponibles lorsqu’elles seront reçues et traitées.</t>
  </si>
  <si>
    <t>Information extraite du portail SOMAEU (fournie par le MELCCFP)</t>
  </si>
  <si>
    <t>Les données par MRC ou par municipalité peuvent être consultées en effectuant un tri pour le territoire concerné.</t>
  </si>
  <si>
    <t>Aucune boues comptabilisées. Il a été présumé qu'elles ont été acheminées vers l'ouvrage municipal d'assainissement des eaux usées de Coaticook (Barnston).</t>
  </si>
  <si>
    <t>OMAEU</t>
  </si>
  <si>
    <t>Valorisation agricole, 745 rue St-Louis, St-Cyrille de Wendover, 33,9 tonnes métriques, 
siccité moyenne de 28.3% (boue biologique et septique), 
pressoir rotatif Fournier, 1er déc. au 31 déc. 2020, par camion dompeur</t>
  </si>
  <si>
    <t>La station produit des digestats séchés (granules) ainsi que des digestats déshydratés, tous acheminés en valorisation agricole.</t>
  </si>
  <si>
    <t>La quantité de boues déclarée semble anormalement élevée. Un ajustement a été apporté. La station produit des digestats séchés (granules) ainsi que des digestats déshydratés, tous acheminés en valorisation agricole.</t>
  </si>
  <si>
    <t>La quantité de boues n'étant pas précisée pour le mois, la moyenne mensuelle de boues disposées a été utilisée. Bien qu'une certaine proportion des boues ait été acheminée à la Mine Black Lake (restauration de site), la totalité des boues a été comptabilisée sous "Épandage agricole" en raison du manque de précision.</t>
  </si>
  <si>
    <t>Bien qu'une certaine proportion des boues ait été acheminée à la Mine Black Lake (restauration de site), elles ont été toutes été comptabilisées sous "Épandage agricole" en raison du manque de précision.</t>
  </si>
  <si>
    <t>Bien que la précision soit manquante, les boues valorisées ont été considérées comme épandues en milieu agricole.</t>
  </si>
  <si>
    <t>Les cendres ont été considérées comme correspondant à 20 % des quantités de boues municipales acheminées à l'incinération.
Les quantités de cendres achminées en épandage agricole ne sont pas comptabilisées dans le présent fichier.</t>
  </si>
  <si>
    <t>Les cendres ont été considérées comme correspondant à 20 % des quantités de boues municipales acheminées à l'incinération.
Bien qu'une quantité de cendres ait été acheminée en valorisation agricole, les boues sont comptabilisées sous "Incinération".</t>
  </si>
  <si>
    <t>Les cendres ont été considérées comme correspondant à 20 % des quantités de boues municipales acheminées à l'incinération. Bien qu'une quantité de cendres ait été acheminée en valorisation agricole, les boues sont comptabilisées sous "Incinération".</t>
  </si>
  <si>
    <t>Les boues ont été considérées comme ayant une densité de 0,8 tonne/m3 pour transposer le volume en tonnage. En raison du manque de précision, le tonnage a été réparti également entre "Épandage agricole" et "mode de recyclage non précisé".</t>
  </si>
  <si>
    <t>Le tonnage acheminé à Sanidro a été comptabilisé sous "Mode de recyclage non précisé" puisqu'à notre connaissance, Groupe Sanidro ne possède pas de site de compostage.</t>
  </si>
  <si>
    <t>Le tonnage acheminé à Sanidro a été comptabilisé sous "Mode de recyclage non précisé" puisqu'à notre connaissance, Groupe Sanidro ne possède pas de site de compostage. En raison du manque de précision, le tonnage a été réparti également entre "Épandage agricole" et "Mode de recyclage non précisé".</t>
  </si>
  <si>
    <t>Le volume de boues déclaré semble anormalement élevé ;  un volume de 38,47 m3 a été comptabilisé  plutôt que 3847 m3. Les données ont été comptabilisées en présumant que les volumes indiqués (m3) soient en réalité des tonnages.</t>
  </si>
  <si>
    <t>OMAEU de la R.I.A.E.U. de Saint-Bruno-de-Montarville et de Saint-Basile-le-Grand</t>
  </si>
  <si>
    <t>Saint-Basile-le-Grand</t>
  </si>
  <si>
    <t>O</t>
  </si>
  <si>
    <t>N</t>
  </si>
  <si>
    <t>Cellules 2A ,4A et 4B_x000D_
Date de début : 5 Octobre 2022  à 17h et fin  1er Novembre 2022 à 16 h_x000D_
Une drague avec une pompe raccordée des tuyaux suivi d'un dégrilleur mécanique ensuite pompés dans des géotubes  _x000D_
Soutirage: Cellule 2A : 2093 m3, Cellule 4A : 4656 m3,Cellule 4B : 2542 m3_x000D_
Volume total : 9291 m3_x000D_
Siccité moyenne des boues : Cellule 2A : 4%,  Cellule 4A :   4%   ,Cellule 4B : 5%_x000D_
Siccité moyenne des 3 cellules: 4% _x000D_
Boues entreposées sur la plateforme de stockage des boues de la station dans des sacs de déshydratation des boues (géotubes) à côté de la cellule 1B</t>
  </si>
  <si>
    <t>X</t>
  </si>
  <si>
    <t>Transport et disposition: Englobe, Les Composts du Québec inc._x000D_
Quantité: 142.55 t.m._x000D_
Siccité: 28.9%</t>
  </si>
  <si>
    <t>En raison du manque de précision, le tonnage a été réparti également entre "Épandage agricole" et "Compostage"</t>
  </si>
  <si>
    <t>Transport et disposition: Englobe, Les Composts du Québec inc._x000D_
Quantité: 133.31 t.m._x000D_
Siccité: 28.4%</t>
  </si>
  <si>
    <t>Transport et disposition: Englobe, Les Composts du Québec inc._x000D_
Quantité: 129.15 t.m._x000D_
Siccité: 29.1%</t>
  </si>
  <si>
    <t>Transport et disposition: Englobe, Les Composts du Québec inc._x000D_
Quantité: 95.01 t.m._x000D_
Siccité: 33.0%</t>
  </si>
  <si>
    <t>Transport et disposition: Englobe, Les Composts du Québec inc._x000D_
Quantité: 128.93 t.m._x000D_
Siccité: 32.6%</t>
  </si>
  <si>
    <t>Transport et disposition: Englobe, Les Composts du Québec inc._x000D_
Siccité: 36.8 %_x000D_
Quantité: 133.74 t.m.</t>
  </si>
  <si>
    <t>Transport et disposition: Englobe, Les Composts du Québec inc._x000D_
Siccité:  34.9%_x000D_
Quantité: 129.02 t.m.</t>
  </si>
  <si>
    <t>Transport et disposition: Englobe, Les Composts du Québec inc_x000D_
Siccité: 33.6%_x000D_
Quantité: 135.42 t.m.</t>
  </si>
  <si>
    <t>Transport et disposition: Englobe, Les Composts du Québec inc._x000D_
Siccité: 34.9%_x000D_
Quantité: 114.05 t.m.</t>
  </si>
  <si>
    <t>Transport et disposition: Englobe, Les Composts du Québec inc_x000D_
Siccité: 31.2%_x000D_
Quantité: 117.65 t.m.</t>
  </si>
  <si>
    <t>Transport et disposition: Englobe, Les Composts du Québec inc._x000D_
Siccité: 33.5%_x000D_
Quantité: 99.72 t.m.</t>
  </si>
  <si>
    <t>Transport et disposition: Englobe, Les Composts du Québec inc._x000D_
Siccité: 33.9%_x000D_
Quantité: 107.50 t.m.</t>
  </si>
  <si>
    <t>Déshydratation des boues par pressoir rotatif dont la siccité moyenne est de 23% Transport par camion vers le champs (valorisation) 480.22 T.M et boues séchées à 92% 14.49 T.M. Transport par camion vers le champs (valorisation).</t>
  </si>
  <si>
    <t>23 % (boues déshydratées)
92 % (boues séchées)</t>
  </si>
  <si>
    <t>Déshydratation des boues par pressoir rotatif dont la siccité moyenne est de 23% Transport par camion vers le champs (valorisation) 406.69 T.M.</t>
  </si>
  <si>
    <t>Déshydratation des boues par pressoir rotatif dont la siccité moyenne est de 23% Transport par camion vers le champs (valorisation) 530.08 T.M.</t>
  </si>
  <si>
    <t>Déshydratation des boues par pressoir rotatif dont la siccité moyenne est de 23% Transport par camion vers le champs (valorisation) 376.75 T.M.</t>
  </si>
  <si>
    <t>Déshydratation des boues par pressoir rotatif dont la siccité moyenne est de 23% Transport par camion vers le champs (valorisation) 730.78 T.M.</t>
  </si>
  <si>
    <t>Déshydratation des boues par pressoir rotatif dont la siccité moyenne est de 23% Transport par camion vers le champs (valorisation) 591.44 T.M.</t>
  </si>
  <si>
    <t>Déshydratation des boues par pressoir rotatif dont la siccité moyenne est de 23% Transport par camion vers le champs (valorisation) 519.66 T.M.</t>
  </si>
  <si>
    <t>Déshydratation des boues par pressoir rotatif dont la siccité moyenne est de 23% Transport par camion vers le champs (valorisation) 165.69 T.M._x000D_
Déshydratation des boues par pressoir rotatif dont la siccité moyenne est de 34% Transport par camion enfouissement 352.67 T.M.</t>
  </si>
  <si>
    <t>Déshydratation des boues par pressoir rotatif dont la siccité moyenne est de 23% Transport par camion vers le champs (valorisation) 244.42 T.M. Déshydratation des boues par pressoir rotatif dont la siccité moyenne est de 34% Transport par camion enfouissement 247.45 T.M.</t>
  </si>
  <si>
    <t>Déshydratation des boues par pressoir rotatif dont la siccité moyenne est de 23% Transport par camion vers le champs (valorisation)" à venir" T.M. Déshydratation des boues par pressoir rotatif dont la siccité moyenne est de 34% Transport par camion enfouissement "à venir" T.M.</t>
  </si>
  <si>
    <t>La quantité comptabilisée correspond à du digestat.
La quantité de boues générée en octobre a été estimée à partir de la quantité mensuelle moyenne produite pour les autres mois de 2022 et répartie également entre épandage agricole et enfouissement.</t>
  </si>
  <si>
    <t>Déshydratation des boues par pressoir rotatif dont la siccité moyenne est de 23% Transport par camion vers le champs (valorisation) 313.98 T.M. Déshydratation des boues par pressoir rotatif dont la siccité moyenne est de 34% Transport par camion enfouissement 134.91 T.M.</t>
  </si>
  <si>
    <t xml:space="preserve">Déshydratation des boues par pressoir rotatif dont la siccité moyenne est de 23% Transport par camion vers le champs (valorisation) 377.9 T.M. </t>
  </si>
  <si>
    <t>OMAEU de la Régie d'assainissement des eaux de Sainte-Madeleine-Sainte-Marie-Madeleine</t>
  </si>
  <si>
    <t>Sainte-Madeleine</t>
  </si>
  <si>
    <t xml:space="preserve">Date de vidange: 14 mai au 1er juin 2022_x000D_
Méthode: draguage, tamis dégrilleur rotatif et 2 centrifugeuses pour la déshydratation sur place_x000D_
Étang no 1, quantité de boues soutirées: 388,94 TMS. siccité 25,7%_x000D_
Étang no 2, quantité de boues soutirées: 277,42 TMS, siccité 22,32%_x000D_
Étang no 3, quantité de boues soutirées: 69,73 TMS, siccité: 23,38%_x000D_
</t>
  </si>
  <si>
    <t>Méthode de disposition: Valorisation agricole
Date: 14 mai au 1er juin 2022
Lieu de disposition: Groupe Van Velzen inc. 1195, chemin d'Anjou, Boucherville - Simon Vincent, 444, Petit Coteau, Verchères - Ferme Lepage, 3415, chemin de la Butte-aux-Renards, Varennes
Étang no 1, quantité de boues soutirées: 388,94 TMS. siccité 25,7%
Étang no 2, quantité de boues soutirées: 277,42 TMS, siccité 22,32%
Étang no 3, quantité de boues soutirées: 69,73 TMS, siccité: 23,38%</t>
  </si>
  <si>
    <t>Pour le mois de Janvier, nous avons disposée de la boue en moyenne 5 jours par semaine._x000D_
La siccité moyenne de la boue à été de 17%._x000D_
Nous avons disposée un total de 1650.68 Tonnes de boue et le tout en revalorisation agricole.</t>
  </si>
  <si>
    <t>Pour le mois de Février, nous avons disposée de la boue en moyenne 5 fois par semaine. La siccité moyenne de la boue à été de 17.1%_x000D_
Nous avons disposé un total de 1694.19 Tonne et le tout en revalorisation agricole.</t>
  </si>
  <si>
    <t>Pour le mois de Mars, nous avons disposée de la boue en moyenne 5 fois par semaine. La siccité de la boue à été de 17.5%_x000D_
Nous avons disposée 1648.99 Tonnes en revalorisation agricole et 127.83 Tonnes sur les sites minier. Pour un total de 1776.82 Tonnes de boue.</t>
  </si>
  <si>
    <t xml:space="preserve">Pour le mois d'avril, nous avons disposée de la boue en moyenne 5 jour par semaine. La siccité moyenne à été de 18.5%._x000D_
1407.82 Tonnes de boue en revalorisation agricole et 376.71 tonnes sur les sites minier. Pour un total de 1784.53 Tonnes de boue disposée. </t>
  </si>
  <si>
    <t>Pour le mois de Mai, nous avons disposée de la boue en moyenne 5 fois par semaine._x000D_
La siccité moyenne est de 17.9% et nous avons disposé un total de 1976.57 Tonnes de boues et le tout en revalorisation agricole.</t>
  </si>
  <si>
    <t>Pour le mois de Juin nous avons disposée de la boue environ cinq fois par semaine. Nous avons une siccité moyenne de 19.8%._x000D_
Et nous avons disposé total de 1848.72 Tonnes de boues, et le tout en revalorisation agricole.</t>
  </si>
  <si>
    <t>Pour le mois de juillet, nous avons disposée de la boue en moyenne 5 fois par semaine. La siccité moyenne de la boue à été de 18.7 %_x000D_
Et nous avons disposée un total de 1463.81 tonne de boue en revalorisation agricole.</t>
  </si>
  <si>
    <t>Nous avons disposé de la boue en moyenne 5 fois par semaine pour le mois d'août._x000D_
La siccité moyenne de la boue est de 18.5%._x000D_
Nous avons disposé 341.43 tonnes sur des sites minier et 1599.25 Tonnes en revalorisation agricole, pour un total de 1940.68 Tonnes.</t>
  </si>
  <si>
    <t>Pour le mois de septembre, nous avons disposée de la boue en moyenne 5 fois par semaine. La siccité moyenne du mois à été de 18.6 %._x000D_
Nous avons disposées  378.99 Tonnes de boues sur des sites minier et 1099.80 Tonnes en revalorisation agricole pour un total de 1478.79 Tonnes.</t>
  </si>
  <si>
    <t>Pour le mois d'octobre, nous avons disposée de la boue en moyenne 5 fois par semaine._x000D_
La siccité moyenne de la boue à  été de 17.7%_x000D_
Nous avons disposé un total de 1901.9 tonne de boue en revalorisation agricole.</t>
  </si>
  <si>
    <t>Pour le mois de Novembre, nous avons disposée de la boue 5 fois par semaine. La siccité moyenne a été de 17.3%._x000D_
Nous avons disposé 1558.11 Tonnes en revalorisation agricole et 363.64 Tonnes sur des sites minier. Pour un total de 1921.75 Tonnes de boue.</t>
  </si>
  <si>
    <t>En décembre nous avons disposée de la boue 5 fois par semaine. La siccité moyenne a été de 16.9 %_x000D_
Nous avons disposé 1424.64 Tonnes de boue en revalorisation agricole et 568.56 Tonnes sur des sites minier._x000D_
Pour un total de 1993.20 Tonnes.</t>
  </si>
  <si>
    <t>Vidange des boues débutée par dragage dans l'étang #2 du 27 juillet au 31 juillet._x000D_
_x000D_
Quantité vidangée : 238 tonnes de masse sèche, (volume d'environ 3000 m³),  siccité moyenne des boues humide : 8%, siccité moyenne des boues sèches :  24,53%. _x000D_
_x000D_
La vidange sera poursuivit en août.</t>
  </si>
  <si>
    <t>Disposition des boues de l'étang #2 du 27 juillet au 31 juillet.  Dans des champs agricoles environnant._x000D_
_x000D_
Quantité disposée: 238 tonnes de masse sèche, (volume d'environ 3000 m³),  siccité moyenne des boues sèches :  24,53%. _x000D_
_x000D_
La disposition sera poursuivit en août.</t>
  </si>
  <si>
    <t>Les boues soutirées ont été considérées à 8 % de matières sèches, puis ramenées au pourcentage de siccité déclaré. Une densité de 1 tonne/m3 a été utilisée pour transposer le volume en tonnage.</t>
  </si>
  <si>
    <t>Vidange des boues par dragage et assèchement mécanique du 1er au 31 août 2022._x000D_
_x000D_
Étang #1 :_x000D_
vidange de  953 Tonnes de masse sèches, donc environ 11 900 m³ en considérant une siccité moyenne de 8%_x000D_
_x000D_
Étang #2 :_x000D_
vidange de 312.5 Tonnes de masse sèches, donc environ 3 900 m³ en considérant une siccité moyenne de 8%</t>
  </si>
  <si>
    <t>Disposition des boues dans des champs agricole de la Région du 1er au 31 août 2022._x000D_
_x000D_
Étang #1 :_x000D_
Disposition de  953 Tonnes de masse sèches, donc environ 11 900 m³ en considérant une siccité moyenne de 8%_x000D_
_x000D_
Étang #2 :_x000D_
Disposition de 312.5 Tonnes de masse sèches, donc environ 3 900 m³ en considérant une siccité moyenne de 8%</t>
  </si>
  <si>
    <t>Les boues soutirées ont été considérées à 8 % de matières sèches, puis ramenées au pourcentage de siccité déclaré pour le mois de juillet. Une densité de 1 tonne/m3 a été utilisée pour transposer le volume en tonnage.</t>
  </si>
  <si>
    <t xml:space="preserve">_x000D_
_x000D_
Vidange des boues par dragage et assèchement mécanique du 1er au 21 septembre 2022. Étang #1 : vidange de 942 Tonnes de masse sèches, donc environ 11 775 m³ en considérant une siccité moyenne de 8% _x000D_
</t>
  </si>
  <si>
    <t xml:space="preserve">Disposition des boues dans des champs agricole de la Région du 1er au 21 septembre 2022. Étang #1 : Disposition de 942 Tonnes de masse sèches, donc environ 11 775 m³ en considérant une siccité moyenne de 8% _x000D_
_x000D_
</t>
  </si>
  <si>
    <t>Une vidange de 1244TMS a été réalisée dans le bassin 4, soit 1138TMS par centrifugation et 106TMS par déshydratation passive (géotubes). La vidange a été réalisée du 15 au 31 juillet 2022. La siccité des boues extraites est estimée à environ 4%.</t>
  </si>
  <si>
    <t>Un total de 1138TMS, à une siccité moyenne de 28,6%, ont été disposées. Ceci correspond à un volume approximatif de 4000m³. La vidange a été réalisée dans le bassin 4 entre le 15 et le 31 juillet 2022. 20TMS ont été disposées dans un LET. Le reste a été valorisé en champ agricole. Les sites de disposition sont détaillés ci-après. À noter que les quantités sont exprimées en tonnes humides._x000D_
_x000D_
659 5e avenue, Sainte-Anne-des-Plaines J0N 1H0 (450 tonnes humides);_x000D_
695 Chemin Mazuret, Repentigny, QC J5Z 4C7 (740 tonnes humides);_x000D_
2300 Chemin Martin, Terrebonne (191 tonnes humides);_x000D_
1895 Chem. Saint-Henri, Mascouche, QC J7K 3C3 (334 tonnes humides);_x000D_
651 Rue Louis-Hébert, Mascouche, QC J7K 0R5 (1044 tonnes humides);_x000D_
6431 Rang Curé Barrette, Terrebonne, QC J7M 1M9 (686 tonnes humides);_x000D_
7951 Rang Curé Barrette, Terrebonne, QC J7M 1M9 (457 tonnes humides).</t>
  </si>
  <si>
    <t xml:space="preserve">Vidange de la cellule 2B du 03-05-2022 au 07-05-2022, 1230 TMH,  260.81TMS système de centrifugeuse, 21.66% de siccité moyenne des boues soutirées, lieux de dispositions des boues, pour valorisation agricole (Jonathan Huot, 11940 côte des Saints, Mirabel) _x000D_
Vidange de la cellule 2A du 30-04-2022 au 01-05-2022,  192TMH,  38.17TMS système de centrifugeuse, 20.13% de siccité moyenne des boues soutirées, lieux de dispositions des boues, pour valorisation agricole (Jonathan Huot, 11940 côte des Saints, Mirabel) </t>
  </si>
  <si>
    <t>Dispositions des boues des Géobags de la cellule 2A de décembre 2021,  En date du 14-09-2022 au 17-09-2022,  662 TMH, 157 TMS , 26.80% de siccité moyenne des boues soutirées, lieux de dispositions des boues, pour valorisation agricole, plusieurs sites, (Michel Desjardins, 2459 Côte des cascades, Papineauville, QC) + ( Michel Desjardins, intersection route 321 et RG Ste-Julie Ouest, St André d'Avellin, QC) + ( Ontario/Gascon 1935 Lajoie, Alfred, Ontario).</t>
  </si>
  <si>
    <t>Dispositions des boues des Géobags de la cellule 2A de décembre 2021,  En date du 29-10-2022, 326.22 TMH, 92.32TMS , 27.5% de siccité moyenne des boues soutirées, lieux de dispositions des boues, pour valorisation agricole (Desjardins, 940 rue Notre Dame, Notre Dame de Bonsecours, QC).</t>
  </si>
  <si>
    <t>Disposition des boues par enfouissement au site d'enviro connexion a Terrebonne , 2004 m3 de boues évacuées avec une siccité moyenne de 20.5%, boues digérées par 2 digesteurs anaérobies du 1er au 31 janvier 2022 , boues épaissies par centrifugation.</t>
  </si>
  <si>
    <t>La quantité comptabilisée correspond à du digestat.
Les données ont été comptabilisées en présumant que les volumes indiqués (m3) soient en réalité des tonnages.</t>
  </si>
  <si>
    <t xml:space="preserve">disposition par enfouissement au site d'enviro connexion a Terrebonne, 1982 m3 de boues évacuées , siccité moyenne de 21%, boues digérées par 2 digesteurs anaérobiques du 1er au 28 février 2022, boues épaissies par centrifugation. </t>
  </si>
  <si>
    <t xml:space="preserve">Disposition par enfouissement au site d'enviro connexion a Terrebonne , quantité évacuée : 1920 M3 avec une siccité moyenne de 22% , boues digérées par 2 digesteurs anaérobiques du 1er au 31 mars 2022, boues épaissies par centrifugation.  </t>
  </si>
  <si>
    <t>Disposition pas enfouissement au site d'enviro connexion a Terrebonne, 1738 m3 de boues évacuées avec une siccité moyenne de 21%, boues digérées par 2 digesteurs anaérobiques du 1er au 30 avril 2022, boues épaissies par centrifugation.</t>
  </si>
  <si>
    <t xml:space="preserve">Disposition des boues par enfouissement au site d'enviro connexion de Terrebonne._x000D_
1756 m3 de boues évacuées avec une siccité moyenne de 23.4%_x000D_
Boues digérées par 2 digesteurs anaérobiques du 1er au 31 mai 2022_x000D_
Boues épaissies par centrifugation  </t>
  </si>
  <si>
    <t xml:space="preserve">Disposition par enfouissement au site d'enviro connexion a Terrebonne _x000D_
2055 M3 de boues évacuées avec une siccité moyenne de 24.64%_x000D_
Boues digérées par 2 digesteurs anaérobiques du 1er au 30 juin 2022_x000D_
Boues épaissies par centrifugation </t>
  </si>
  <si>
    <t xml:space="preserve">Boue disposées au site d'enviro connexion a Terrebonne par enfouissement_x000D_
1849 M3 de boues évacuées avec une siccité moyenne de 24%_x000D_
Boues digérées par 2 digesteurs anaérobies du 1er au 31 juillet 2022_x000D_
Boues épaissies par centrifugation  </t>
  </si>
  <si>
    <t xml:space="preserve">Disposition par enfouissement au site d'enviro connexion a Terrebonne_x000D_
1903 m3 de boue évacuées avec une siccité moyenne de 23%_x000D_
Boues digérées par 2 digesteurs anaérobiques du 1er au 31 aout _x000D_
Boues épaissies par centrifugation </t>
  </si>
  <si>
    <t>Disposition des boues par enfouissement au site d'enviro connexion a Terrebonne._x000D_
1639 m3 de boues évacuées avec une siccité moyenne de 23.15%_x000D_
Boues digérées par 2 digesteurs anaérobiques du 1er au 30 septembre 2022_x000D_
Boues épaissies par centrifugation</t>
  </si>
  <si>
    <t xml:space="preserve">Disposition par enfouissement au site d'enviro connexion a Terrebonne._x000D_
1646 M3 de boues évacuées a une siccité moyenne de 21.6%_x000D_
Boues digérées par 2 digesteurs anaérobiques du 1er au 31 octobre 2022_x000D_
Boues épaissies par centrifugation </t>
  </si>
  <si>
    <t xml:space="preserve">Disposition par enfouissement au site d'enviro connexion._x000D_
1819 M3 de boues déshydratées avec une siccité moyenne de 21%_x000D_
Boues digérées par 2 digesteurs anaérobiques du 1er au 30 novembre 2022_x000D_
Boues déshydratées par centrifugation.  </t>
  </si>
  <si>
    <t>Disposition par enfouissement au site d'enviro connexion _x000D_
 2146 m3 de boues évacuées , siccité moyenne de 19.76%_x000D_
Boues digérées par 2 digesteurs anaérobiques du 1er au 31 décembre 2022_x000D_
Boues épaissies par centrifugation</t>
  </si>
  <si>
    <t>OMAEU de Saint-Alphonse-de-Granby (Domaine du village)</t>
  </si>
  <si>
    <t>Saint-Alphonse-de-Granby</t>
  </si>
  <si>
    <t>Vidange complète du bassin d'accumulation des boues par camion vacuum._x000D_
19 juillet 2022, 111 m3 de boues liquides évacués, La siccité n'a pas été déterminée._x000D_
28 juillet 2022, 25 m3 de boues liquides évacués, La siccité n'a pas été déterminée._x000D_
28 juillet 2022, 129 m3 de boues épaisses évacués, La siccité n'a pas été déterminée.</t>
  </si>
  <si>
    <t>Vidange complète du bassin d'accumulation des boues par camion vacuum._x000D_
19 et 28 juillet 2022, 136 m3 de boues liquides transportées à la station d'épuration de Cowansville. La siccité n'a pas été déterminée._x000D_
28 juillet 2022, 129 m3 de boues épaisses transportées au site d'enfouissement de Saint-Valérien-de-Milton. La siccité n'a pas été déterminée.</t>
  </si>
  <si>
    <t>La siccité de boues a été établie à 16 % sur la base des siccités des années 2021 et 2022.
Les données ont été comptabilisées en présumant que les volumes indiqués (m3) soient en réalité des tonnages.
Les boues acheminées à la station d'épuration (Cowansville) n'ont pas été comptabilisées.</t>
  </si>
  <si>
    <t>Vidange du bassin de stockage des boues par camion vacuum 30 mètres cube au site de traitement de la corporation municipale de Thetford mine_x000D_
Le 15 Juin 2022</t>
  </si>
  <si>
    <t>336.1 tonnes métriques de boue à 19.8% de siccité. Valorisation des boues par Viridis environnement. Envoyé chez (Élevage LD St-Martin et Luc Lachance St-Gédéon .)</t>
  </si>
  <si>
    <t>185.1 tonnes métriques de boue à 21% de siccité. Valorisation des boues par Viridis environnement. Envoyé chez (Luc Lachance St-Gédéon et mine de Black Lake .)</t>
  </si>
  <si>
    <t>117.8 tonnes métriques de boue à 23% de siccité. Valorisation des boues par Viridis environnement. Envoyé chez (Luc Lachance St-Gédéon et mine de Black Lake et Nicolas Cliche St-Martin .)</t>
  </si>
  <si>
    <t>245.7 tonnes métriques de boue à 23,8% de siccité. Valorisation des boues par Viridis environnement. Envoyé chez (Dany Rodrigue Saint-Victor, Ferme Jacklene Lac-Etchemin et Fosse JS Nadeau à Sacré-Cur de jésus.)</t>
  </si>
  <si>
    <t>314.4 tonnes métriques de boue à 22.7% de siccité. Valorisation des boues par Viridis environnement. Envoyé chez (Dany Rodrigue Saint-Victor Nicolas Cliche ferme Royal Holstein, Ferme Alexandre Martineau,  Ferme G.R.Y. CIM  et Ferme Larrivière Gingras.)</t>
  </si>
  <si>
    <t>363.8 tonnes métriques de boue à 21.1% de siccité. Valorisation des boues par Viridis environnement. Envoyé chez (Ferme Larrivière Gingras, M Jean-François Cimon (ch#8), situé à Thetford Mines, Fosse Jacklène située à Lac-Etchemin et M. Patrice Benjamin (ch#16), situé à St-Martin)</t>
  </si>
  <si>
    <t>301.2 tonnes métriques de boue à 20.8% de siccité. Valorisation des boues par Viridis environnement. Envoyé chez M. Patrice Benjamin (ch#16), situé à St-Martin.</t>
  </si>
  <si>
    <t>362.6 tonnes métriques de boue à 20% de siccité. Valorisation des boues par Viridis environnement. Envoyé chez M. Patrice Benjamin (ch#16), situé à St-Martin et Mine de Black Lake.</t>
  </si>
  <si>
    <t>352.5 tonnes métriques de boue à 18.8% de siccité. Valorisation des boues par Viridis environnement. Envoyé chez M. Patrice Benjamin (ch#16), situé à St-Martin, Mine de Black Lake, Ferme Annaud St-Pierre-Baptiste, Ferme Jaklène Lac-Etchemin et Ferme Larivière Gingras St-Zacharie</t>
  </si>
  <si>
    <t>242.1 tonnes métriques de boue à 18% de siccité. Valorisation des boues par Viridis environnement. Envoyé chez Ferme Jaklène à Lac-Etchemin, Forfait agricole NP Inc Nicolas Paradis, ferme Annaud et ferme Troyblay et fils.</t>
  </si>
  <si>
    <t>371 tonnes métriques de boue à 17.9% de siccité. Valorisation des boues par Viridis environnement. Envoyé chez Forfait agricole NP Inc Nicolas Paradis, ferme Annaud et Mine de Black Lake.</t>
  </si>
  <si>
    <t>318.8 tonnes métriques de boue à 18.9% de siccité. Valorisation des boues par Viridis environnement. Envoyé chez Forfait agricole NP Inc Nicolas Paradis et Mine de Black Lake.</t>
  </si>
  <si>
    <t xml:space="preserve">Bassin # 2  Début de vidange le 27 octobre et fin la journée même.  Nous avons procéder au pompage des boues à l'aide d'un tracteur équipé d'une pompe à laquelle est raccordée un boyau de 150mm de diamètre d'une longueur d'environ 76 mètres.  Nous avons dirigé les boues dans un géotube d'une capacité de 286 m.cubes situé sur le même lot que les étangs vis-à-vis un ancien champs d'épuration construit par la SQAE dans les années 80 qui s'est avéré plus ou moins fonctionnel.  Le site comporte 4 champs d'épurations.  Nous avons remis en fonction une conduite de collecte des eaux passant par l'élément épurateur et qui retourne en tête de traitement.  Une vérification de conformité avait préalablement été fait avec un représentant du MELCC pour s'assurer que nous étions en règle (Alain Roy ing. directeur des services techniques avait validé avec M. Étienne Perreault du MELCC).  La vidange n'a pas été complète car le géotube était un peu trop petit et la vidange du surnageant incomplète.  Donc trop d'eau pompée pour l'espace disponible. </t>
  </si>
  <si>
    <t>Présentement encore dans le géotube et en processus d'essorage.</t>
  </si>
  <si>
    <t xml:space="preserve">Le maxime des boues a été enlevé dans le bassin # 2 et dirigé une seconde fois vers le géotube le 15 novembre 2022.  Une hauteur restante d'approximativement 0.2m est présent dans le bassin.  Une mesure finale sera réalisé ce printemps.  Le géotube a été remplis à environ 70% de sa capacité. </t>
  </si>
  <si>
    <t>En processus d'essorage sur le site.</t>
  </si>
  <si>
    <t>320 litres de redus</t>
  </si>
  <si>
    <t>320 litre de rebus.</t>
  </si>
  <si>
    <t>320 litres de rébuts</t>
  </si>
  <si>
    <t>320 litres . Site enfouissement</t>
  </si>
  <si>
    <t>320 litres de rebus par mois .</t>
  </si>
  <si>
    <t>Ouvrage municipal d'assainissement des eaux usées d'Albertville</t>
  </si>
  <si>
    <t>Albertville</t>
  </si>
  <si>
    <t>pompage des boues</t>
  </si>
  <si>
    <t>Sani Manic</t>
  </si>
  <si>
    <t>Vidange des bassins 3B, 4 et 5, _x000D_
du 28 Juin au 1 Juillet 2022, soutirage par draguage ,_x000D_
Quantité soutirer dans le bassin 3B; 1032.6 m3_x000D_
                                                     4:  520.3 m3_x000D_
                                                     5:  767.4 m3_x000D_
Pour une siccité moyenne de 3.30 %</t>
  </si>
  <si>
    <t xml:space="preserve">Disposition des boues fait par citerne, pour une quantité total de 2320.30 m3 avec une siccité moyenne de 3.30 %. _x000D_
Boues soutirer des bassins 3B, 4 et 5 fait par draguage._x000D_
Du 28 Juin au 1 Juillet 2022_x000D_
2 Endroits de disposition des boues soit au:   259 Jackson Road, Brome Québec / Ferme Millbrook _x000D_
                                                                        1348 rang du Bord-de-l'eau Henryville Québec / ferme Pierre Fabry </t>
  </si>
  <si>
    <t xml:space="preserve">la disposition de 05 m3 de boue du dégrilleur  , récupéré par l entreprise  LAUZON ÉQUIPEMENTS </t>
  </si>
  <si>
    <t>Méthode: Géotubes; Lieu de disposition: 8 Chemin des Bouleaux; Quantité évacuée: 140 m³; Siccité: ?????   ; Réservoir principal; Début: 6 décembre 2022; Fin: 7 décembre 2022; Méthode utilisé: Polymérisation</t>
  </si>
  <si>
    <t>Vidange du décanteur et de la fosses a boue par vacuum envoyer chez englobe_x000D_
8 camions de 3000 GL donc 90 M3_x000D_
effectué le 17 novembre</t>
  </si>
  <si>
    <t>Barnston
Filtre a Bande
7 Jan 5.7tm 16%
12 Jan 5.8tm 15.5%
17 Jan 5.6tm 15.4%
28 Jan 5.7tm 15.7%</t>
  </si>
  <si>
    <t>Aucune boue comptabilisée. Il a été présumé qu'elles ont été acheminées vers l'ouvrage municipal d'assainissement des eaux usées de Coaticook (Barnston).</t>
  </si>
  <si>
    <t>Barnston
Filtre a Bande
9 Fev. 5.44tm  15.38%
17 Fev. 6.01tm  15.5%</t>
  </si>
  <si>
    <t>barnston
filtre a bande
11 mars 5.7tm 15.9%
21 mars 5.8tm 16%
25 mars 6tm 15.9%</t>
  </si>
  <si>
    <t>Filtre a bande
Barnston
1 Avril 5.8tm 16.3%
13 Avril 5.7tm 15.7%
26 Avril 5.7tm 15.9%</t>
  </si>
  <si>
    <t>Barnston
filtre a bande
4 mai 5.6tm 15.5%
12 mai 5.7tm 15.5%
18 mai 5.8tm 16.8%</t>
  </si>
  <si>
    <t>1 juin 5.8 tm  17.6%</t>
  </si>
  <si>
    <t>6 Juillet 5.5tm 19%
13 Juillet 5.6tm 16.3%
20 Juillet 5.6tm 15.5%</t>
  </si>
  <si>
    <t>3 Aout 5.5tm 15.6%
23 Aout 5.6tm 15.6%
30 Aout 5.5tm 15.5%</t>
  </si>
  <si>
    <t>Filtre a bandes
barnston
7 Sept. 5.2tm 16.9%
9 Sept. 5.8tm 15.8%
15 Sept. 6tm 15.4%
27 Sept. 5.1tm 15.6%</t>
  </si>
  <si>
    <t xml:space="preserve">Filtre a bande
Barnston
5 Oct. 5.6tm 15.6%
12 Oct. 5.7tm 15.6%
14 Oct. 5.5tm 15.7%
20 Oct. 5.8tm 15.9%
27 Oct. 5.9tm 15.8%
</t>
  </si>
  <si>
    <t>Filtre a bande
Barnston
10 Nov. 5.8tm 15.4%
18 Nov. 5.8tm 15.1%
25 Nov. 5.7tm 15.9%</t>
  </si>
  <si>
    <t>1 Dec. 5.8tm 15%
15 Dec. 6tm 15.4%
barnston
Filtre a Bande</t>
  </si>
  <si>
    <t>53.6 kg</t>
  </si>
  <si>
    <t>14.5</t>
  </si>
  <si>
    <t>18.7 kg</t>
  </si>
  <si>
    <t>65 kg</t>
  </si>
  <si>
    <t>77.65 kg</t>
  </si>
  <si>
    <t>75.60 kg</t>
  </si>
  <si>
    <t>94.40 kg</t>
  </si>
  <si>
    <t>97.20</t>
  </si>
  <si>
    <t>63.35</t>
  </si>
  <si>
    <t xml:space="preserve">65.76 kg_x000D_
</t>
  </si>
  <si>
    <t xml:space="preserve">43.65 kg_x000D_
</t>
  </si>
  <si>
    <t>63,65 kgs</t>
  </si>
  <si>
    <t xml:space="preserve">La vidange des boues s'est effectuée les mercredi et jeudi 12 et 13 octobre 2022._x000D_
Les boues ont été chargé dans 10roues par une pelle mécanique et envoyée chez 4 agriculteurs._x000D_
Lensemble des dossiers agronomiques (Avis de Projet) ont été effectués et respectés au niveau du ministère de lEnvironnement._x000D_
Les boues provenaient des 4 bassins._x000D_
780 tonnes métriques ont été distribués aux quatre agriculteurs._x000D_
Rapport de l'agronome disponible sur demande._x000D_
</t>
  </si>
  <si>
    <t>Beauce-Centre</t>
  </si>
  <si>
    <t>12.2 m3 de boue disposé chez VIRIDIS Environnement, Siccité moyenne: 23.7%.</t>
  </si>
  <si>
    <t>9.7 m3 de boue disposé chez VIRIDIS Environnement. Siccité moyenne: 18.4%.</t>
  </si>
  <si>
    <t xml:space="preserve">Camion vaccum, Station Épuration Ville de Salaberry-de-Valleyfield, 175 m3, 2% siccité. </t>
  </si>
  <si>
    <t>Disposition de boues prise en compte sous "Ouvrage municipal d'assainissement des eaux usées de Salaberry-de-Valleyfield".</t>
  </si>
  <si>
    <t xml:space="preserve">1 Benne de 11,84 TMS. Avec siccité de 18%. Méthode Centrifugeuse. Direction dépotoirs. Décanteur 1 et 2. </t>
  </si>
  <si>
    <t xml:space="preserve">Enfouissement, lieu enfouissement non mentionné. Récupération Mario Hart situé à Valleyfield. 9,57 TMS pour le mois de novembre. Siccité moyenne 22%, prélevé sur décanteur 1 et 2. 1er au au 30 novembre 2022 du lundi au vendredi. </t>
  </si>
  <si>
    <t xml:space="preserve">Tonnage du mois de décembre:  51,9 tonnes. Site enfouissement. Siccité: 23%. Décanteur 1 et 2. Début 1er Décembre et fin 31 Décembre. Centrifugeuse. </t>
  </si>
  <si>
    <t>Ouvrage municipal d'assainissement des eaux usées de Beaulac</t>
  </si>
  <si>
    <t>Beaulac-Garthby</t>
  </si>
  <si>
    <t>---</t>
  </si>
  <si>
    <t>Date de sortie: 03-06-12-17-21-26. Quantité: 18.7-18.4-19.5-19.3-20.4-19.5 tonne. Siccité moyenne: 32%. Lieu de disposition.Gestion Juno et frères inc.</t>
  </si>
  <si>
    <t>Date de sortie: 01-04-08-11-16-24 Février. Quantité: 18.9-19.9-17.0-18.9-19.1-19.8 tonne. Siccité moyenne: 34%. Lieu de disposition: Gestion Juneau et Frères Inc. et Ferme Innov-AG Inc.</t>
  </si>
  <si>
    <t>Date de sortie: 01-04-09-15-16-21-24-30 mars. Quantité: 18.5-19.7-19.2-15.4-20.1-16.2-15.0-14.0 tonne. Siccité moyenne: 33.6%. Lieu de disposition: Gestion Juno et Freres inc U23</t>
  </si>
  <si>
    <t>Date se sortie: 05-06-12-15-20-27 avril. Quantité: 15.7-14.9-16.3-16.7-16.6-14.6 tonne. Siccité moyenne: 36.7%. Lieu de disposition: Gestion Juneau et freres inc. , Ferme Innov-AG Inc. et Ferme JMP Chretion et fils Inc. Structure.</t>
  </si>
  <si>
    <t>Date de sortie: 03-10-17-24-30 mai. Quantité; 17.3-19.0-20.3-21.3-19.8 tonne. Siccité moyenne: 30.9%. Lieu de disposition: Gestion Juno  et freres Inc. , Ferme JMP Chretien et Fils inc.</t>
  </si>
  <si>
    <t>Date de sortie: 01-07-14-21-23-29 juin. Quantité: 19.2-20.3-21.3-19.0-21.0-20.1 tonne. Siccité moyenne: 28.13%. Lieu de disposition: Gestion Juno et Frères inc. N38 et Ferme Innov-AG Inc.</t>
  </si>
  <si>
    <t>Date de sortie: 05-11-15-50-26 juillet. Quantité: 20.0-20.6-20.7-20.7-20.6 tonne. Siccité moyenne: 30.1%. Lieu de disposition:Gestion Juno et freres inc.</t>
  </si>
  <si>
    <t>Date de sortie: 02-08-11-17-23-29 août. Quantité: 21.7-20.5-20.0-18.3-22.0-20.4 tonne. Siccité moyenne: 30.4%. Lieu de disposition: Ferme Innov-AG Inc. Structure, Gestion Juneau et freres Inc. N38</t>
  </si>
  <si>
    <t>Date de sortie: 02-09-14-21-27 septembre. Quantité: 22.0-19.4-22.6-18.9-20.1 tonne. Siccité moyenne: 29.8%. Lieu de disposition: Gestion Juno et frères inc., Ferme JMP Chretien et fils inc. , et Ferme Innov-AG Inc.</t>
  </si>
  <si>
    <t>Date de sortie: 03-07-13-19-26 octobre. Quantité: 18.7-18.9-20.3-19.1-19.8 tonne. Siccité moyenne: 28.8%. Lieu de disposition: Gestion Juno et Freres inc.N38</t>
  </si>
  <si>
    <t>Date de sortie: 01-08-11-17-23-29 novembre. Quantité: 21.7-20.2-19.2-21.3-19.5-19.3 tonne. Siccité moyenne: 27.6%. Lieu de disposition: Gestion Juno et freres inc. N38 et Ferme JMP Chretien et fils Inc.</t>
  </si>
  <si>
    <t xml:space="preserve">Date de sortie: 06 -13 - 20- 27 décembre. Quantité: 22.4 -19.8 -18.7 -21.0 tonne. Siccité moyenne: 32.2%. Lieu de disposition: Ferme JMP Chrétien et Fils Inc., Gestion Juno et frères Inc. </t>
  </si>
  <si>
    <t>Ouvrage municipal d'assainissement des eaux usées de Bécancour (secteur Ouest)</t>
  </si>
  <si>
    <t>cellule numéro 1, début 26 juillet 2022, fin environ du 29 août 2022, siccité moyenne 25%,_x000D_
Suite de la vidange information à venir</t>
  </si>
  <si>
    <t>Information à venir</t>
  </si>
  <si>
    <t>bassin numéro 1, début: 26-07-2022 fin 14-08-2022, pompage par dragage, 617 tonnes, siccité 23.24%_x000D_
bassin  numéro 2, début: 15-08-2022 fin 24-08-2022, pompage par dragage, 313 tonnes, siccité 21.55%</t>
  </si>
  <si>
    <t>Bassins numéro 1 et 2, Méthode de disposition: revalorisation agricole, (fermes: Pascal Nadeau, Éric Rousseau, Jean-François Béland, St-Célestin, Ferme Poirier St-Lucien, Ferme Douvert St-Wenceslas, ferme Stéphane Felten) quantité évacuée 931 tonnes, siccité moyenne totale :22.4%, quantité à l'enfouissement 13 tonnes.</t>
  </si>
  <si>
    <t xml:space="preserve">Système de presse a boues, l'évacuation se fait par la société ENVIROCONNEXION, vers le site d'enfouissement de LACHENAIE._x000D_
La quantité de Boues évacuées pour le mois de Janvier est de 334.2 tonnes à une siccité moyenne de 28.1%._x000D_
</t>
  </si>
  <si>
    <t>Système de presse a boues, l'évacuation se fait par la société ENVIROCONNEXION, vers le site d'enfouissement de LACHENAIE._x000D_
La quantité de Boues évacuées pour le mois de Février est de 308.3 tonnes à une siccité moyenne de 28.9%.</t>
  </si>
  <si>
    <t>Système de presse a boues, l'évacuation se fait par la société ENVIROCONNEXION, vers le site d'enfouissement de LACHENAIE._x000D_
La quantité de Boues évacuées pour le mois de Mars est de 357.3 tonnes à une siccité moyenne de 26.8%.</t>
  </si>
  <si>
    <t>Système de presse a boues, l'évacuation se fait par la société ENVIROCONNEXION, vers le site d'enfouissement de LACHENAIE._x000D_
La quantité de Boues évacuées pour le mois d'Avril est de 231.9 tonnes à une siccité moyenne de 25.1%.</t>
  </si>
  <si>
    <t>Système de presse a boues, l'évacuation se fait par la société ENVIROCONNEXION, vers le site d'enfouissement de LACHENAIE._x000D_
La quantité de Boues évacuées pour le mois de Mai est de 382.1 tonnes à une siccité moyenne de 25.7%.</t>
  </si>
  <si>
    <t>Système de presse a boues, l'évacuation se fait par la société ENVIROCONNEXION, vers le site d'enfouissement de LACHENAIE._x000D_
La quantité de Boues évacuées pour le mois de Juin est de 402.7 tonnes à une siccité moyenne de 26.6%.</t>
  </si>
  <si>
    <t>Système de presse a boues, l'évacuation se fait par la société ENVIROCONNEXION, vers le site d'enfouissement de LACHENAIE._x000D_
La quantité de Boues évacuées pour le mois de Juillet est de 379.2 tonnes à une siccité moyenne de 27.2%.</t>
  </si>
  <si>
    <t>Système de presse a boues, l'évacuation se fait par la société ENVIROCONNEXION, vers le site d'enfouissement de LACHENAIE._x000D_
La quantité de Boues évacuées pour le mois de Juillet est de 378.9 tonnes à une siccité moyenne de 28.4%.</t>
  </si>
  <si>
    <t>Système de presse a boues, l'évacuation se fait par la société ENVIROCONNEXION, vers le site d'enfouissement de LACHENAIE._x000D_
La quantité de Boues évacuées pour le mois de Septembre est de 343.4 tonnes à une siccité moyenne de 25.5%.</t>
  </si>
  <si>
    <t>Système de presse a boues, l'évacuation se fait par la société ENVIROCONNEXION, vers le site d'enfouissement de LACHENAIE._x000D_
La quantité de Boues évacuées pour le mois d'octobre est de 390.8 tonnes à une siccité moyenne de 25.4%.</t>
  </si>
  <si>
    <t xml:space="preserve">Système de presse a boues, l'évacuation se fait par la société ENVIROCONNEXION, vers le site d'enfouissement de LACHENAIE._x000D_
La quantité de Boues évacuées pour le mois de novembre est de 437.3 tonnes à une siccité moyenne de 24.9%._x000D_
</t>
  </si>
  <si>
    <t>Système de presse a boues, l'évacuation se fait par la société ENVIROCONNEXION, vers le site d'enfouissement de LACHENAIE._x000D_
La quantité de Boues évacuées pour le mois de décembre est de 398.6 tonnes à une siccité moyenne de 26.4%.</t>
  </si>
  <si>
    <t>Deux voyages de 3,000 gallon  chacun le 11 février 2022</t>
  </si>
  <si>
    <t>2 camion de 3000 gallon  le 19 mai 2022</t>
  </si>
  <si>
    <t>Vidanges  de la boite a déchet  2 camion de vidange de 3000 gallon  _x000D_
La vidanges a été effectuées le 13 septembre 2022</t>
  </si>
  <si>
    <t>Site des lagunes de la municipalité de Bouchette</t>
  </si>
  <si>
    <t>Deux voyages de camion de 3000 Gallon</t>
  </si>
  <si>
    <t>Lagunes de Bouchette</t>
  </si>
  <si>
    <t xml:space="preserve">le 3 juin vidange des boues des 2 fosses septique par pompage sanitaire Mont-Tremblant pour un total de 58m3 par camion vacuum _x000D_
le 6 juin vidange des boues de la station de pompage et chambre de répartition pour un total de 10.5m3 par camion vacuum de pompage sanitaire Mont-Tremblant._x000D_
</t>
  </si>
  <si>
    <t>toutes les boues retiré le 3 et 6 juin, furent transporté au site de pompage Mont-Tremblant par camion citerne pour un total de 68.5 m3</t>
  </si>
  <si>
    <t>vidange des boues des fosses par camion vacuum de pompage sanitaire mont tremblant le 15 novembre pour un volume de 36m3 et transporté au site de pompage mont tremblant.</t>
  </si>
  <si>
    <t>boues des fausses transporté au site de pompage mont tremblant pour un volume total de 36 m3par camion citerne</t>
  </si>
  <si>
    <t>791 980 Kg de boue d'une siccité moyenne de 27.00 % a été soutirée l'étang no.1 du 3 au 14 août 2022. La méthode mécanique a été utilisée pour la vidange des boues. La centrifugation a été utilisée pour la déshydratation des boues de létang #1.</t>
  </si>
  <si>
    <t>791 980 Kg de boue d'une siccité moyenne de 27.00 % a été soutirée l'étang no.1 du 3 au 14 août 2022. La centrifugation a été utilisée pour la déshydratation des boues de létang #1. Les boues déshydratées ont été transportées vers un lieu de disposition (par valorisation).  _x000D_
Point GPS pour la disposition : 45.0771313, -72.7546309 (Ferme Maple Crest).</t>
  </si>
  <si>
    <t>156 tonnes de boues. disposition par camion vaccume, siccité: 40-50%. décanteur primaire et secondaire du côter gauche. fait le 30 août 2022</t>
  </si>
  <si>
    <t xml:space="preserve">96 tonne  de boue, camions vaccume envoyer a Uteau, siccité 70%, usine droite. 15 Decembre et 22 decembre. </t>
  </si>
  <si>
    <t>Les géotubes, dont le contenu datant de plusieurs années, boues des étangs 2 et 3, a été extrait pour valorisation. Les boues ont principalement été acheminées au 1900 ch de la Bataille, La Prairie, sur les terres appartenant à M. Bernard Gélineau. La vidange a débuté le 31 août 2022 et s'est terminée le 9 septembre 2022. 2685 m3 de boues ont été disposé. La siccité moyenne des boues était de 29.17%. L'ensemble des bon d'épandage est disponible sur demande.</t>
  </si>
  <si>
    <t xml:space="preserve">Vidange du bassin #4 du 8 au 20 octobre. Vidange du bassin #3 du 20 octobre jusqu'au 10 novembre. La méthode utilisée est le dragage avec déshydratation sur place avec centrifugeuse._x000D_
Au total 871 m³ ont été soutirés de l'étang #4, avec une siccité moyenne de 22,1%. Tandis que 1685m³ ont été soutirés de l'étang #3 avec une siccité moyenne de 20,1% (extraction se poursuit en novembre) </t>
  </si>
  <si>
    <t xml:space="preserve">La valorisation des boues a été effectuée par épandage aux adresses suivantes : 150, rang du Bois-de-Maska, St-Francois, 58e rue O et 24e Av. O, Venise-en-Qc, (45.7226554, -73.4183059) Varennes, Lacolle, 11 rang Bois de Maska, Yamaska, Contrecoeur, Shefford, Farnham, 2106 des 60 rang Saint-Marc-sur-Richelieu . QC J0L 2E0, Immorel Mekanix, 1503 rue Principale, Saint-Michel QC J0L2J0. _x000D_
Vidange du bassin #4 du 8 au 20 octobre. Vidange du bassin #3 du 20 octobre jusqu'au 10 novembre. La méthode utilisée est le dragage avec déshydratation sur place avec centrifugeuse._x000D_
Au total 871 m³ ont été soutirés de l'étang #4, avec une siccité moyenne de 22,1%. Tandis que 1685m³ ont été soutirés de l'étang #3 avec une siccité moyenne de 20,1% (extraction se poursuit en novembre) _x000D_
_x000D_
*Veuillez noter que ces adresses sont préliminaires, basées sur les informations fournies par l'entrepreneur responsable de la vidange des boues. _x000D_
_x000D_
_x000D_
_x000D_
_x000D_
</t>
  </si>
  <si>
    <t>Vidange par dragage du bassin #3 qui a débuté le 20 octobre dernier s'est poursuivi jusqu'au 10 novembre. Selon les calculs préliminaire 1685m³ ont été soutirés de l'étang #3, avec une siccité moyenne de 20.1%. Le soutirage dans l'étang no2 a débuté le 11 novembre jusqu'au 24 pour une quantité de 1103m³ avec une siccité moyenne de 21,27%. Finalement, l'étang no1 du 25 au 28 novembre pour une quantité de 362m3 avec une siccité de 28.64%. La déshydratation des boues est fait au site avec des centrifugeuse.</t>
  </si>
  <si>
    <t xml:space="preserve">Vidange par dragage du bassin #3 qui a débuté le 20 octobre dernier s'est poursuivi jusqu'au 10 novembre. Selon les calculs préliminaire 1685m³ ont été soutirés de l'étang #3, avec une siccité moyenne de 20.1%. Le soutirage dans l'étang no2 a débuté le 11 novembre jusqu'au 24 pour une quantité de 1103m³ avec une siccité moyenne de 21,27%. Finalement, l'étang no1 du 25 au 28 novembre pour une quantité de 362m3 avec une siccité de 28.64%. La déshydratation des boues est fait au site avec des centrifugeuse._x000D_
Elles ont été valorisé par épandage aux adresses suivantes : 150, rang du Bois-de-Maska, St-Francois, 58e rue O et 24e Av. O, Venise-en-Qc, (45.7226554, -73.4183059) Varennes, Lacolle, 11 rang Bois de Maska, Yamaska, Claude Lajeunesse, 892 Rang Brûlé, St-Antoine sur Richelieu, Jonathan Sherrer, 33 chemin de la Diligence, Shefford_x000D_
Daniel Rochat, 110 rang 10, Ste-Sabine; Bessette, 2227 chemin des Patriotes, Richelieu; Van Velzen, 1195 chemin d'Anjou, Boucherville; Bourgea, 85 chemin Bunker, Stanbridge East;_x000D_
Duhamel, 295 rang des terres noires, Verchères_x000D_
 *Veuillez noter que ces adresses sont basées sur les informations fournies par l'entrepreneur responsable de la vidange des boues. </t>
  </si>
  <si>
    <t>*</t>
  </si>
  <si>
    <t>Vidange de la fosse principale, secondaire et des 3 stations de pompage avec camion vacuum débuté et complété le 19 octobre 2023._x000D_
_x000D_
Un total de 6 000 gallons de boues ou 23 m3.</t>
  </si>
  <si>
    <t xml:space="preserve">Vidange de la fosse principale, secondaire et des 3 stations de pompage avec camion vacuum débuté et complété le 19 octobre 2023._x000D_
Un total de 6 000 gallons de boues ou 23 m3._x000D_
Les boues ont été disposées à la Régie intermunicipale de Gestion des déchets solides de la région de Coaticook._x000D_
</t>
  </si>
  <si>
    <t>Valorisation à St-Chrysostome, 148.36 MH</t>
  </si>
  <si>
    <t>Valorisation à St-Chrysostome, 119.25 MH, siccité moyenne - 23.8%</t>
  </si>
  <si>
    <t>Valorisation à St-Chrysostome, 161.96 t MH, (14 bennes) siccité moyenne - 25.1%</t>
  </si>
  <si>
    <t>Valorisation à St-Chrysostome, 168.6 MH, siccité moyenne - 26%</t>
  </si>
  <si>
    <t>Valorisation à St-Chrysostome, 191.90 MH, siccité moyenne - 27.7%</t>
  </si>
  <si>
    <t>Valorisation à St-Chrysostome, 281.60 MH, siccité moyenne - 25.6%</t>
  </si>
  <si>
    <t>Valorisation à St-Chrysostome, 233.84 MH, siccité moyenne - 27%</t>
  </si>
  <si>
    <t>Valorisation à St-Chrysostome, 237.98 MH, siccité moyenne - 25.7%</t>
  </si>
  <si>
    <t>Valorisation à St-Chrysostome, 215.80 MH, siccité moyenne - 24.9%</t>
  </si>
  <si>
    <t>Valorisation à St-Chrysostome, 237.27 TM, siccité moyenne est 24.5%</t>
  </si>
  <si>
    <t>Valorisation à St-Chrysostome, 218 MH, siccité moyenne - 23.8%</t>
  </si>
  <si>
    <t>Valorisation à St-Chrysostome, 177.87 MH, siccité moyenne - 24%</t>
  </si>
  <si>
    <t>Méthode: Camion citerne,               Méthode: Camion citerne,                Méthode: Camion citerne,                 Méthode: Camion citerne,                     Méthode: Camion citerne,_x000D_
Lieu: Chénéville,                               Lieu: Chénéville,                                Lieu: Chénéville,                                 Lieu: Chénéville,                                     Lieu: Chénéville,_x000D_
Quantité: 22 m3,                              Quantité: 19 m3,                               Quantité: 24 m3,                                Quantité: 23 m3,                                    Quantité: 20 m3, _x000D_
Siccité: 1.7 %,                                   Siccité: 0.9 %,                                    Siccité: 1.7 %,                                     Siccité: 5.3 %,                                         Siccité: 1.8 %,_x000D_
Bassin: Bassin #1,                             Bassin: Bassin #1,                              Bassin: Bassin #1,                               Bassin: Chambre de vannes,                  Bassin: Bassin #1,_x000D_
Date: 05-01-2022,                            Date: 12-01-2022,                             Date: 19-01-2022,                             Date: 20-01-2022,                                  Date: 27-01-2022,  _x000D_
Méthode: Vacuum.                           Méthode: Vacuum.                           Méthode: Vacuum.                            Méthode: Vacuum.                                 Méthode: Vacuum.</t>
  </si>
  <si>
    <t xml:space="preserve">Méthode: Camion citerne,                   Méthode: Camion citerne,                   Méthode: Camion citerne,                   Méthode: Camion citerne,              Méthode: Camion citerne, _x000D_
Lieu: Chénéville,                                   Lieu: Chénéville,                                   Lieu: Chénéville,                                   Lieu: Chénéville,                              Lieu: Chénéville, _x000D_
Quantité: 19 m3,                                  Quantité: 21 m3,                                  Quantité: 24 m3,                                  Quantité: 31 m3,                             Quantité: 19 m3,    _x000D_
Siccité: 2 %,                                          Siccité: 2.4 %,                                       Siccité: 2 %,                                          Siccité: 12 %,                                   Siccité: 2.6 %,_x000D_
Bassin: Bassin No 1,                             Bassin: Bassin No 1,                              Bassin: Bassin No 1,                             C de Vannes,                                   Bassin: Bassin No 1, _x000D_
Date: 02-02-2022,                                Date: 09-02-2022,                                Date: 16-02-2022,                                Date: 21-02-2022,                           Date: 23-02-2022,_x000D_
Méthode: Vacuum.                               Méthode: Vacuum..                              Méthode: Vacuum.                              Méthode: Vacuum.                          Méthode: Vacuum.   </t>
  </si>
  <si>
    <t>Le 29 septembre 2022, EBI est venu nettoyer et vider les bassins . EBI ont leurs propre site pour la disposition des boues. Ils ont retiré 270m3 de boue avec un camion vacuum._x000D_
_x000D_
Nous avons nettoyé les filtres aux FIR le 29 septembre également.</t>
  </si>
  <si>
    <t>En raison du manque de précision, la quantité saisie correspond au volume déclaré par l'exploitant.</t>
  </si>
  <si>
    <t>Poste de pompage sur la rue Principal:  Nous avons vidangé la trappe à graisse à l'extérieur le 3 octobre 2022. Le travail a été effectué par la compagnie Vide Tout avec un camion vacuum. Ils ont disposé les boues dans leur site de disposition. Environ 10m3.</t>
  </si>
  <si>
    <t>Nous avons vidé la trappe à graisse le 20 décembre 2022 à la station de pompage sur la rue Principale. La compagnie Vide tout a utilisé un camion vacuum pour faire le travail. Il dispose de son propre site pour la disposition des boues.</t>
  </si>
  <si>
    <t xml:space="preserve">La fosse a été vidé le 16 mars par la compagnie Monsieur Vide tout._x000D_
90% de siccité._x000D_
Ils pompent la fosse à l'aide d'un camion pompe, ensuite ils disposent les boues dans leur étang aéré._x000D_
</t>
  </si>
  <si>
    <t>Une compagnie est venu retirer les boues à l'aide d'un camion vacuum dans les deux fosses et le bassin intérieur. La compagnie ce nomme M. Vide Tout. Ils disposent les boues dans leur propre site. Le 6 et le 9 août 2022.</t>
  </si>
  <si>
    <t>La fosse a été vidée le 20 décembre 2022 par un camion vacuum de la compagnie Vide tout. Il a disposé les boues dans un lieu de disposition lui appartenant.</t>
  </si>
  <si>
    <t xml:space="preserve">avec  un camion de sani manic vacuum les boue sont disposer a Rimouski pour une quantité de 24 m³ en date du 5 juillet 2022_x000D_
</t>
  </si>
  <si>
    <t>Sani Manic. Ramassage des boues début novembre,</t>
  </si>
  <si>
    <t>Vidées le 17 novembre 2022</t>
  </si>
  <si>
    <t>Ouvrage municipal d'assainissement des eaux usées de Coaticook (Barnston)</t>
  </si>
  <si>
    <t xml:space="preserve">Tous les bassins (1, 2A et 2B) ont été vidés. Au total c'est 77,42 TMS qui ont été soutirées. La densité moyenne du pompage a été de 2.64%, ce qui veut dire que c'est 2934 m3 qui a été pompé pour récolter 77,42 Tonnes de matière sèche. Les boues ont été pompées dans 2 membranes de type géotubes sur une zone nivellée et imperméabilisée située à environ 20 m de l'étang #1. Le liquide est retourné dans l'étang #1. Les boues des étangs 1 et 2B ont été réparties uniformément entre les 2 sacs géotubes, selon les recommandations de la firme Valoris. L'étang 2B comprend de la déphosphatation. Les étangs 1 et 2 ne contiennent pas de déphosphatation._x000D_
_x000D_
Voici les informations sur l'occupation des étangs avant la vidange_x000D_
Volume total des boues :_x000D_
- Étang #1 = 899 m3_x000D_
- Étang #2 = 521 m3_x000D_
- Étang #3 = 842 m3_x000D_
_x000D_
Taux d'occupation des boues : _x000D_
- Étang #1 = 22,8 %_x000D_
- Étang #2 = 21,0 %_x000D_
- Étang #3 = 57,5 %_x000D_
_x000D_
Épaisseur de boues au fond (hors pentes) :_x000D_
- Étang #1 = 0.51 m3_x000D_
- Étang #2 = 0.53 m3_x000D_
- Étang #3 = 2.01 m3_x000D_
</t>
  </si>
  <si>
    <t>Les boues vont demeurer dans les géotubes. La disposition des boues a été budgétée en 2024.</t>
  </si>
  <si>
    <t xml:space="preserve">Nous avons fait évacuer des boues par camion vers l'usine d'épuration de Valleyfield via la compagnie Transport Pharand. Il est sortie 114.4 mètres cubes de boues liquides à une siccité moyenne de 1.4%. Nous avons concentré les boues dans le bassin #1 et la vidange à eu lieu du 24 au 26 octobre 2022._x000D_
_x000D_
</t>
  </si>
  <si>
    <t>Aucune boue comptabilisée puisqu'elles ont été acheminées à l'ouvrage municipal d'assainissement des eaux usées de Salaberry-de-Valleyfield.</t>
  </si>
  <si>
    <t>Une déshydratation par centrifugeuse a eu lieu du 04 au 31 janvier 2022. Le volume total est de 165.9 tonnes avec une siccité de 18.4%. Les boues ont été disposée pour une revalorisation agricole par la firme Viridis Environnement.</t>
  </si>
  <si>
    <t>Une déshydratation par centrifugeuse a eu lieu du 01 au 28 février 2022. Le volume total est de 218.9 tonnes avec une siccité de 19.2%. Les boues ont été disposée pour une revalorisation agricole par la firme Viridis Environnement.</t>
  </si>
  <si>
    <t>Une déshydratation par centrifugeuse a eu lieu du 01 au 29 mars2022. Le volume total est de 184.7 tonnes avec une siccité de 20.4%. Les boues ont été disposée pour une revalorisation agricole par la firme Viridis Environnement.</t>
  </si>
  <si>
    <t>Une déshydratation par centrifugeuse a eu lieu du 01 au 29 avril 2022. Le volume total est de 94.8 tonnes avec une siccité de 21.2 %. Les boues ont été disposée pour une revalorisation agricole par la firme Viridis Environnement.</t>
  </si>
  <si>
    <t>Une déshydratation par centrifugeuse a eu lieu du 02 au 30 mai 2022. Le volume total est de 232.2 tonnes avec une siccité de 21.3 %. Les boues ont été disposée pour une revalorisation agricole par la firme Viridis Environnement.</t>
  </si>
  <si>
    <t>Une déshydratation par centrifugeuse a eu lieu du 01 au 30 juin 2022. Le volume total est de 90.5 tonnes avec une siccité de 21.6 %. Les boues ont été disposée pour une revalorisation agricole par la firme Viridis Environnement.</t>
  </si>
  <si>
    <t>Une déshydratation par centrifugeuse a eu lieu du 02 au 31 juillet 2022. Le volume total est de 210.3 tonnes avec une siccité de 20.2.%. Les boues ont été disposée pour une revalorisation agricole par la firme Viridis Environnement.</t>
  </si>
  <si>
    <t>Une déshydratation par centrifugeuse a eu lieu du 01 au 31 aout 2022. Le volume total est de 214.5 tonnes avec une siccité de 19.6 %. Les boues ont été disposée pour une revalorisation agricole par la firme Viridis Environnement.</t>
  </si>
  <si>
    <t>Une déshydratation par centrifugeuse a eu lieu du 01 au 30 septembre 2022. Le volume total est de 117.5 tonnes avec une siccité de 19.4 %. Les boues ont été disposée pour une revalorisation agricole par la firme Viridis Environnement.</t>
  </si>
  <si>
    <t>Une déshydratation par centrifugeuse a eu lieu du 01 au 31 Octobre  2022. Le volume total est de 194.3 tonnes avec une siccité de 19.0 %. Les boues ont été disposée pour une revalorisation agricole par la firme Viridis Environnement.</t>
  </si>
  <si>
    <t>Une déshydratation par centrifugeuse a eu lieu du 01 au 28 novembre 2022. Le volume total est de 195.7 tonnes avec une siccité de 19.4 %. Les boues ont été disposée pour une revalorisation agricole par la firme Viridis Environnement.</t>
  </si>
  <si>
    <t>Une déshydratation par centrifugeuse a eu lieu du 02 au 27 décembre  2022. Le volume total est de 200.6  tonnes avec une siccité de 18.8 %. Les boues ont été disposée pour une revalorisation agricole par la firme Viridis Environnement.</t>
  </si>
  <si>
    <t xml:space="preserve">Les boues sont pompées en continu à partir de notre décanteur primaire et de nos deux décanteurs secondaires pour être dirigées vers un cuvier de boues mixtes duquel les boues ainsi mélangées sont déshydratées avec l'aide de 4 presses à vis.  La siccité moyenne pour le mois de janvier a été de 41.48%._x000D_
Les boues ont été disposées de deux façons:_x000D_
903 tonnes ont été brûlées (cogénération) à l'usine de Brompton_x000D_
6595 tonnes ont été valorisées agricolement_x000D_
</t>
  </si>
  <si>
    <t xml:space="preserve">Les boues sont pompées en continu à partir de notre décanteur primaire et de nos décanteurs secondaires pour être dirigées vers un cuvier de boues mixtes duquel les boues sont déshydratées avec l'aide de 4 presses à vis.  La siccité moyenne pour le mois de février a été de 42.9%._x000D_
Les boues ont été disposées de deux façons_x000D_
1100 tonnes ont été brulées à l'usine de Bromptonville_x000D_
6270 tonnes ont été valorisées agricolement._x000D_
</t>
  </si>
  <si>
    <t xml:space="preserve">Les boues sont pompées en continu à partir d'un décanteur primaire et de nos deux décanteurs secondaires pour être dirigées vers un cuvier de boues mixtes duquel les boues sont déshydratées avec l'aide de 4 presses à vis.  La siccité moyenne de ces boues a été de 43.38 % au cours du mois de mars._x000D_
Les boues ont été disposées de deux façons:_x000D_
4094 tonnes ont été brûlées à l'usine de Bromptonville_x000D_
3552 tonnes ont été valorisées agricolement_x000D_
</t>
  </si>
  <si>
    <t>Les boues sont pompées en continues à partir de notre décanteur primaire et de nos deux décanteurs secondaires pour être dirigées vers un cuvier de boues mixtes duquel les boues sont déshydratées avec l'aide de 4 presses à vis.  La siccité moyenne du produit fini a été de 43.47% pour le mois d'avril._x000D_
Les boues ont été disposées de deux façons:_x000D_
6528 tonnes ont été brulées à l'usine de Bromptonville (cogen)_x000D_
186 ont été valorisées agricolement</t>
  </si>
  <si>
    <t xml:space="preserve">Les boues sont pompées en continu à partir de notre décanteur primaire et de nos deux décanteurs secondaires pour être dirigées vers un cuvier de boues mixte duquel les boues sont déshydratées avec l'aide de 4 presses à vis.  La siccité moyenne de ces boues pour le mois de mai a été de 40.76%._x000D_
Les boues ont été disposées de deux manières:_x000D_
5099 tonnes ont été brûlées (cogen) à l'usine de Bromptonville_x000D_
1925 tonnes ont été valorisées agricolement_x000D_
</t>
  </si>
  <si>
    <t>Les boues  sont pompées en continu à partir de notre décanteur primaire et de nos deux décanteurs secondaires pour être dirigées vers un cuvier de boues mixtes duquel les boues mélangées sont déshydratées avec l'aide de 4 presses à vis.  la siccité moyenne pour le mois de juin a été de 40.42%_x000D_
Les boues ont été disposées de trois manières:_x000D_
113 tonnes ont été envoyées dans un site d'enfouissement (enfouibec)_x000D_
4011 tonnes ont été brulées à l'usine de Bromptonville (cogen)_x000D_
2168 tonnes ont été valorisées agricolement</t>
  </si>
  <si>
    <t>Les boues sont pompées en continue à partir de notre décanteur primaire et de nos deux décanteurs secondaires pour être dirigées vers un cuvier de boues mixtes duquel les boues mélangées sont déshydratées avec l'aide de 4 presses à vis.  La siccité moyenne du produit fini a été de 41.9% pour le mois de juillet._x000D_
Les boues ont été disposées de deux façons:_x000D_
2268 tonnes ont été brûlées (cogen) à l'usine de Bromptonville_x000D_
4387 tonnes ont été valorisées agricolement</t>
  </si>
  <si>
    <t>Les boues sont pompées en continue à partir de notre décanteur primaire et de nos deux décanteurs secondaires pour être dirigées vers un cuvier de boues mixtes duquel les boues mélangées sont déshydratées avec l'aide de 4 presses à vis. La siccité moyenne du produit fini a été denviron 43.9 % pour le mois daoût. Les boues ont été disposées de deux façons: 3756 tonnes ont été brûlées (cogen) à l'usine de Bromptonville et 2959 tonnes ont été valorisées agricolement.</t>
  </si>
  <si>
    <t>Les boues sont pompées en continue à partir de notre décanteur primaire et de nos deux décanteurs secondaires pour être dirigées vers un cuvier de boues mixtes duquel les boues sont déshydratées avec l'aide de 4 presses à vis.  La siccité moyenne de ces boues pour le mois de septembre a été de 43.71%_x000D_
Les boues ont été disposées de deux façons:_x000D_
3067 tonnes ont été brûlées à l'usine de Bromptonville (cogen)_x000D_
2792 tonnes ont été valorisées agricolement</t>
  </si>
  <si>
    <t>Les boues sont pompées en continue à partir de notre décanteur primaire et de nos deux décanteurs secondaires pour être dirigées vers un cuvier de boues mixtes duquel les boues sont déshydratées avec l'aide de 4 presses à vis.  La siccité moyenne pour le mois d'octobre a été de :  42.2%_x000D_
_x000D_
4146 tonnes sont brûlées à l'usine de Bromptonville (Cogen)_x000D_
2923 tonnes sont valorisées agricolement</t>
  </si>
  <si>
    <t>Les boues sont pompées en continue à partir de notre décanteur primaire et de nos deux décanteurs secondaires pour être dirigées vers un cuvier de boues mixtes duquel les boues sont déshydratées avec l'aide de 4 presses à vis. La siccité moyenne pour le mois d'octobre a été de : 42.1%. 5826 tonnes sont brûlées à l'usine de Bromptonville (Cogen) 1528 tonnes sont valorisées agricolement.</t>
  </si>
  <si>
    <t>Les boues sont pompées en continue à partir de notre décanteur primaire et de nos deux décanteurs secondaires pour être dirigées vers un cuvier de boues mixtes duquel elles sont déshydratées avec l'aide de 4 pressses à vis.  La siccité moyenne pour le mois de décembre a été de 43%_x000D_
_x000D_
Les boues ont été disposées de trois manières _x000D_
_x000D_
194 tonnes ont été envoyées en enfouissement au site Harmoni de Shawinigan_x000D_
3817 tonnes ont été brulés   (cogen) à l'usine de Bromptonville_x000D_
1708 tonnes ont été valorisées agricolement</t>
  </si>
  <si>
    <t>Début de la vidange le des boues le 12 août au niveau de nos étangs 1.</t>
  </si>
  <si>
    <t>En attente de la listes des sites.</t>
  </si>
  <si>
    <t>Tonnage comptabilisé dans le mois de septembre.</t>
  </si>
  <si>
    <t>Nous avons débuté le 11 août la vidange de l'étang 1A et 1B par dragage avec déshydratation par centrifugeuses. Une quantité de 3275 TMS de boues on été soutirées des l'étangs jusqu'aux 19 septembre avec une siccité moyenne de 23.47%</t>
  </si>
  <si>
    <t xml:space="preserve">Voici les sites pour la disposition de nos boues envoyées directement pour valorisation agricole:_x000D_
PO 22.1 :	St-Rosaire, 8ème rang (Mario Donni)_x000D_
PO 22.2 :	Varennes (Germain Larose)_x000D_
PO 22.3 : 	4005, 9ème rang de Simpon, St-Lucien (Ferme Poirier)_x000D_
PO 22.4 : 	Intersection 8e rang et Talbot, St-Felix (Ferme Poirier)_x000D_
PO 22.5	848, 8e rang, St-Felix de Kingsey(Ferme Poirier)_x000D_
PO 22.6	Intersection route 255 et 7e rang, St-Félix, (Ferme Poirier)_x000D_
PO 22.7	Proche intersection 4ème rang et route 255 St-Lucien (Ferme Michael Brodeur)_x000D_
PO 22.8	9 rang et rang Côté, St-Felix (Ferme Poirier)_x000D_
PO 22.9	45.769699, -72.229129 (Chemin de la Rivière, St-Félix) (Ferme Poirier)_x000D_
PO 22.10	Daniel Duhamel, Verchères_x000D_
PO 22.11	Yvon Doyon (St-Guillaume)_x000D_
22.12	Yvon Doyon, St-Guillaume_x000D_
22.13	Jonathan (Shefford)_x000D_
22.14	Rolland Beauchamp (Varennes)_x000D_
22.15	André Lacouture (St-François-du-Lac)_x000D_
22.16	823, 8e rang, St-Felix de Kingsey(Ferme Poirier)_x000D_
22.17	4e rang, St-Lcuien (Marie-Hélène Brouillette)_x000D_
PO 22.18	Yvon Doyon (St-Guillaume)_x000D_
PO 22.19	Pierre Ricard (Louiseville)_x000D_
</t>
  </si>
  <si>
    <t>Vidange du bassin de boues, 60 m3 total , par vaccum par la compagnie enviro 5. 1,84%</t>
  </si>
  <si>
    <t>Vaccum disposé à l'usine d'épuration d'Asbestos, situé à val des sources.  31 octobre 2022, 60m3</t>
  </si>
  <si>
    <t>Aucune boue comptabilisée puisqu'elles ont été acheminées à l'ouvrage municipal d'assainissement des eaux usées de Val-des-Sources.</t>
  </si>
  <si>
    <t>14 novembre 2022. Vidange complète de la fosse 2. Total de 75m3. Siccité: 4,4%. Pompage par camion vaccum. _x000D_
Pompage du gras sur la fosse 1.</t>
  </si>
  <si>
    <t>Disposition de 34 m3 chez ECC environnent et 41m3 à Val des sources.</t>
  </si>
  <si>
    <t>Les boues ont été considérées comme étant liquides ; une densité de 1 tonne/m3 a été utilisée pour transposer le volume en tonnage.
Les boues acheminées à l'ouvrage municipal d'assainissement des eaux usées de Val-des-Sources n'ont pas été comptabilisées.</t>
  </si>
  <si>
    <t>Déshydratation par centrifugeuse._x000D_
Valorisation par Viridis Environnement Inc._x000D_
Quantité totale mensuelle: 92.7 Tonnes métrique_x000D_
Siccité moyenne: 22.2 %</t>
  </si>
  <si>
    <t>Déshydratation par centrifugeuse_x000D_
Valorisation par Viridis Environnement Inc._x000D_
Quantité totale mensuelle: 89 Tonnes métrique_x000D_
Siccité moyenne: 21.7 %</t>
  </si>
  <si>
    <t>Déshydratation par centrifugeuse_x000D_
Valorisation par Viridis Environnement Inc._x000D_
Quantité totale mensuelle: 132 Tonnes métrique_x000D_
Siccité moyenne: 21,8 %</t>
  </si>
  <si>
    <t>Déshydratation par centrifugeuse._x000D_
Valorisation par Viridis Environnement Inc._x000D_
Quantité totale mensuelle:  85.9  Tonnes métrique_x000D_
Siccité moyenne: 23.4 %</t>
  </si>
  <si>
    <t xml:space="preserve">Déshydratation par centrifugeuse,_x000D_
Valorisation par Viridis Environnement inc._x000D_
Quantité totale mensuelle: 101 Tonnes métrique_x000D_
Siccité moyenne: 23,4 %_x000D_
</t>
  </si>
  <si>
    <t>Déshydratation des boues par centrifugeuse._x000D_
Valorisation par Viridis Environnement inc._x000D_
Quantité totale mensuelle: 106 Tonnes métrique_x000D_
Siccité moyenne: 23.7 %</t>
  </si>
  <si>
    <t>Déshydratation des boues par centrifugeuse._x000D_
Valorisation par Viridis Environnement Inc._x000D_
Quantité totale mensuelle: 93,6 Tonnes métrique_x000D_
Siccité moyenne: 23,5 %</t>
  </si>
  <si>
    <t>Déshydratation des boues par centrifugeuse._x000D_
Valorisation par Viridis Environnement Inc._x000D_
Quantité totale mensuelle: 85.9 Tonnes métrique_x000D_
Siccité moyenne: 22.2 %</t>
  </si>
  <si>
    <t>Déshydratation par centrifugeuse_x000D_
Valorisation par Viridis Environnement Inc._x000D_
Quantité totale mensuelle: 84,7 Tonnes métrique_x000D_
Siccité moyenne: 21,7 %</t>
  </si>
  <si>
    <t xml:space="preserve">Déshydratation par centrifugeuse._x000D_
Valorisation par Viridis Environnement Inc._x000D_
Quantité totale mensuelle: 86 Tonnes métrique_x000D_
Siccité moyenne: 21.6 %_x000D_
</t>
  </si>
  <si>
    <t>Déshydratation des boues par centrifugeuse._x000D_
Valorisation par Viridis Environnement inc._x000D_
Quantité totale mensuelle: 117.6 Tonnes métrique_x000D_
Siccité moyenne: 21.6 %</t>
  </si>
  <si>
    <t>Déshydratation des boues par centrifugeuse._x000D_
Valorisation par Viridis Environnement Inc._x000D_
Quantité totale mensuelle: 114 Tonnes métrique_x000D_
Siccité moyenne: 21,6 %</t>
  </si>
  <si>
    <t>Ouvrage municipal d'assainissement des eaux usées de Forestville</t>
  </si>
  <si>
    <t>Forestville</t>
  </si>
  <si>
    <t>Cellule #2 = 29 sept au 7 oct. par pompage et déshydratation mécanisée par centrifugeuse, 140.58 m3 à 24.38% de siccité
Cellule #1 = 9 au 17 oct. par pompage et déshydratation mécanisée par centrifugeuse, 215.86 m3 à 33.39% de siccité</t>
  </si>
  <si>
    <t>Cellule #2 = 29 sept au 7 oct. par pompage et déshydratation mécanisée par centrifugeuse, 140.58 m3 à 24.38% de siccité. Épandage pour la valorisation agricole : William Imbeault (2240 rang 2, Ragueneau); Ferme Dechênes et fils ( 150 rue Principale, Sacré-Coeur)_x000D_
Cellule #1 = 9 au 17 oct. par pompage et déshydratation mécanisée par centrifugeuse, 215.86 m3 à 33.39% de siccité. Épandage pour la valorisation agricole : William Imbeault (2240 rang 2, Ragueneau); Ferme Dechênes et fils ( 150 rue Principale, Sacré-Coeur); Israel Deschenes (967 Rang St-Joseph, Les bergeronnes)</t>
  </si>
  <si>
    <t>Boues déshydratées par un pressoir rotatif. 63,5m3 de boues ont été envoyées au LET de Gaspé avec une siccité moyenne de 24,05%.</t>
  </si>
  <si>
    <t>Boues déshydratées par un pressoir rotatif. 49,5m3 de boues ont été envoyées au LET de Gaspé avec une siccité moyenne de 26,17%.</t>
  </si>
  <si>
    <t>Boues déshydratées par un pressoir rotatif. 53,1m3 de boues ont été envoyées au LET de Gaspé avec une siccité moyenne de 27,29%.</t>
  </si>
  <si>
    <t>Boues déshydratées par un pressoir rotatif. 47,9m3 de boues ont été envoyées au LET de Gaspé avec une siccité moyenne de 25,43%.</t>
  </si>
  <si>
    <t>Boues déshydratées par un pressoir rotatif. 48,5m3 de boues ont été envoyées au LET de Gaspé avec une siccité moyenne de 25,45%.</t>
  </si>
  <si>
    <t>Boues déshydratées par un pressoir rotatif. 66,6m3 de boues ont été envoyées au LET de Gaspé avec une siccité moyenne de 23,75%.</t>
  </si>
  <si>
    <t>Boues déshydratées par un pressoir rotatif. 56,9m3 de boues ont été envoyées au LET de Gaspé avec une siccité moyenne de 28,01%.</t>
  </si>
  <si>
    <t>Boues déshydratées par un pressoir rotatif. 70,5m3 de boues ont été envoyées au LET de Gaspé avec une siccité moyenne de 26,37%.</t>
  </si>
  <si>
    <t>Boues déshydratées par un pressoir rotatif. 60,9m3 de boues ont été envoyées au LET de Gaspé avec une siccité moyenne de 27,35%.</t>
  </si>
  <si>
    <t>Boues déshydratées par un pressoir rotatif. 55,0m3 de boues ont été envoyées au LET de Gaspé avec une siccité moyenne de 25,75%.</t>
  </si>
  <si>
    <t>Boues déshydratées par un pressoir rotatif. 50,1m3 de boues ont été envoyées au LET de Gaspé avec une siccité moyenne de 26,59%.</t>
  </si>
  <si>
    <t>Boues déshydratées par un pressoir rotatif. 45,4m3 de boues ont été envoyées au LET de Gaspé avec une siccité moyenne de 25,99%.</t>
  </si>
  <si>
    <t xml:space="preserve">- Déchets retirés par les dégrilleurs : 60 m3_x000D_
- Sable retiré par le ou les dessableurs : 30.25 tonnes. _x000D_
- Disposition de 862.33  tonnes de boues à 23.84 % de siccité par Uteau Valorisation. _x000D_
- Disposition de 195.82 tonnes de granules à 95.07  % par Ralph M Lang Custom Inc. Shawville </t>
  </si>
  <si>
    <t>23.84 % (boues)
95,05 % (granules)</t>
  </si>
  <si>
    <t xml:space="preserve">- Déchets retirés par les dégrilleurs : 62 m3_x000D_
- Sable retiré par le ou les dessableurs : 25.27 tonnes. _x000D_
- Disposition de 711  tonnes de boues à 26.66 % de siccité par Uteau Valorisation. _x000D_
- Disposition de 268.49 tonnes de granules à 95.20  % par Ralph M Lang Custom Inc. Shawville </t>
  </si>
  <si>
    <t>26,66 % (boues)
95,20 % (granules)</t>
  </si>
  <si>
    <t xml:space="preserve">- Déchets retirés par les dégrilleurs : 51 m3_x000D_
- Sable retiré par le ou les dessableurs : 98.07 tonnes. _x000D_
- Disposition de 154.91  tonnes de boues à 25.88 % de siccité par Uteau Valorisation. _x000D_
- Disposition de 173.2 tonnes de granules à 95.50 % par Ralph M Lang Custom Inc. Shawville </t>
  </si>
  <si>
    <t>25,88 % (boues)
95,50 % (granules)</t>
  </si>
  <si>
    <t xml:space="preserve">- Déchets retirés par les dégrilleurs : 51 m3_x000D_
- Sable retiré par le ou les dessableurs : 33.14 tonnes. _x000D_
- Disposition de 745.70  tonnes de boues à 25.86 % de siccité par Uteau Valorisation. _x000D_
- Disposition de 277.07 tonnes de granules à 95.70 % par Ralph M Lang Custom Inc. Shawville </t>
  </si>
  <si>
    <t>25,86 % (boues)
95,70 % (granules)</t>
  </si>
  <si>
    <t xml:space="preserve">- Déchets retirés par les dégrilleurs : 59 m3_x000D_
- Sable retiré par le ou les dessableurs : 52.9 tonnes. _x000D_
- Disposition de 1006.85  tonnes de boues à 26.13 % de siccité par Uteau Valorisation. _x000D_
- Disposition de 249.83 tonnes de granules à 95.34 % par Ralph M Lang Custom Inc. Shawville </t>
  </si>
  <si>
    <t>26,13 % (boues)
95,34 % (granules)</t>
  </si>
  <si>
    <t xml:space="preserve">- Déchets retirés par les dégrilleurs : 59 m3_x000D_
- Sable retiré par le ou les dessableurs : 0 tonnes. _x000D_
- Disposition de 936.05  tonnes de boues à 24.13 % de siccité par Uteau Valorisation. _x000D_
- Disposition de 336.97 tonnes de granules à 94.65 % par Ralph M Lang Custom Inc. Shawville </t>
  </si>
  <si>
    <t>24,13 % (boues)
94,65 % (granules)</t>
  </si>
  <si>
    <t xml:space="preserve">- Déchets retirés par les dégrilleurs : 59 m3_x000D_
- Sable retiré par le ou les dessableurs : 28.3 tonnes. _x000D_
- Disposition de 951.45  tonnes de boues à 26.06 % de siccité par Uteau Valorisation. _x000D_
- Disposition de 213.98 tonnes de granules à 94.65 % par Ralph M Lang Custom Inc. Shawville </t>
  </si>
  <si>
    <t>26,06 % (boues)
94,65 % (granules)</t>
  </si>
  <si>
    <t xml:space="preserve">- Déchets retirés par les dégrilleurs : 59 m3_x000D_
- Sable retiré par le ou les dessableurs : 53.03 tonnes. _x000D_
- Disposition de 1348.92  tonnes de boues à 23.76 % de siccité par Uteau Valorisation. _x000D_
- Disposition de 169.18 tonnes de granules à 93.85 % par Ralph M Lang Custom Inc. Shawville </t>
  </si>
  <si>
    <t>23,76 % (boues)
93,85 % (granules)</t>
  </si>
  <si>
    <t>- Déchets retirés par les dégrilleurs : 64 m3_x000D_
- Sable retiré par le ou les dessableurs : 61.44 T. _x000D_
- Disposition de 1065.10 tonnes de boues à 23.66 % de siccité par Uteau Valorisation. _x000D_
- Disposition de 270.72 tonnes de granules à % de siccité par Ralph M Lang Custom Inc. Shawville.</t>
  </si>
  <si>
    <t>23,66 % (boues)
ND (granules)</t>
  </si>
  <si>
    <t xml:space="preserve">- Déchets retirés par les dégrilleurs : 63 m3 _x000D_
- Sable retiré par le ou les débassableurs : 60.72 tonnes. _x000D_
- Disposition de 1676.8 tonnes de boues à 23.57 % de siccité par Uteau Valorisation _x000D_
- Disposition de 114.70 tonnes de granules à 93.19 % de siccité par Ralph M Lang Custom Inc. Shawville </t>
  </si>
  <si>
    <t>23,57 % (boues)
93,19 (granules)</t>
  </si>
  <si>
    <t xml:space="preserve">- Déchets retirés par les dégrilleurs : 63 m3 _x000D_
- Sable retiré par le ou les dessableurs : 53.03 tonnes. _x000D_
- Disposition de 1348.92 tonnes de boues à 23.73 % de siccité par Uteau Valorisation _x000D_
- Disposition de 169.18 tonnes de granules à 93.85 % de siccité par Ralph M Lang Custom Inc. Shawville </t>
  </si>
  <si>
    <t>23,73 % (boues)
93,85 (granules)</t>
  </si>
  <si>
    <t xml:space="preserve">- Déchets retirés par les dégrilleurs :     m3._x000D_
- Sable retiré par le ou les dessableurs : 54.8 tonnes. _x000D_
- Disposition de 1046.56 tonnes de boues à 24.61 % de siccité par Uteau Valorisation. _x000D_
- Disposition de 229.64 tonnes de granules à 95.06 % de siccité par Ralph M Lang Custom Inc. Shawville. _x000D_
</t>
  </si>
  <si>
    <t>24,61 % (boues)
95,06 (granules)</t>
  </si>
  <si>
    <t>Ouvrage municipal d'assainissement des eaux usées de Gatineau (Masson-Angers)</t>
  </si>
  <si>
    <t>La vidange a débuté le 24 Juin 2022 aux cellules 1 et 2. La vidange a pris fin le 16 Juillet 2022. La boue a été draguée, mélangée à un polymère et centrifugée. Le gâteau a été transporté pour valorisation. La quantité totale soutirée est de 1903,52 TMS avec une siccité moyenne de 27%.</t>
  </si>
  <si>
    <t>Données comptabilisées dans le mois suivant (juilllet 2022).</t>
  </si>
  <si>
    <t>Vidange des boues de l'étang 1 et d'une partie de l'étang 2. La vidange a débuté le 24 Juin pour se terminer le 16Juillet. Un total de 1903,58 TMS ont été soutirées. Méthode: centrifugation des boues préalablement mélangées à un polymère.</t>
  </si>
  <si>
    <t>La valorisation agricole est privilégiée</t>
  </si>
  <si>
    <t>Ouvrage municipal d'assainissement des eaux usées de Gracefield</t>
  </si>
  <si>
    <t>Gracefield</t>
  </si>
  <si>
    <t>La vidange des boues a été donnée a contrat et le contracteur a disposer des boues dans un site accrédite a cette effet.</t>
  </si>
  <si>
    <t>La disposition a été fait par le contracteur qui a eu le contrat.</t>
  </si>
  <si>
    <t>Les boues sont valorisées aux endroits suivants: Mario Vaillancourt champ 41, Fréchette Rioux Andy 17 , Ferme Desrosiers Enr. B1 (ent) , Entreprises Fermagri SENC 9 (ent) , Ferme Desrosiers Enr. HDW2 , Gosselin, Jean Jean Gosselin 4,, Ferme Mijane S.E.N.C. B5 et Ferme D.C.R. senc 3._x000D_
Quantité totale : 1619.07 TM Siccité des boues: 1-16.49% , 3-16,74% , 4-16,19% , 5-15,92% , 6-15,37% , 7-14,00% , 8-15,73% , 10-16,20% , 11-15,51% , 12-15,50% ,13-15,53% , 14-15,00% 15-15,07% , 17-15,23% , 18-15,16% , 19-15,44% , 20-14,78 % , 21-14,00% , 22-15,37% , 24-15,50 % , 25-15,26% , 26-15,38% , 27-15,81% , 28-15,00% , 29-15,38% ,_x000D_
31-15,29%   Moyenne mensuelle: 15,42%</t>
  </si>
  <si>
    <t xml:space="preserve">Les boues sont valorisées aux endroits suivants:_x000D_
Ferme D.C.R. senc 3_x000D_
Ferme Valbois senc M1 (ent)_x000D_
Ferme Maroly inc. / Structure_x000D_
Ferme Valbois senc Y4 (ent)_x000D_
Ferme Podlait senc 6 (ent)_x000D_
Ferme François Gagnon (L'Avenir) 7_x000D_
Ferme Thérox inc. 13E_x000D_
Quantité totale : 1931.45 TM_x000D_
Siccité des boues:_x000D_
2-	15,78%	3-	16,84%	4-	17,00%	5-	15,49%	7-	16,42%	8-	16,21%	9-	16,07%	10-	15,98%	11-	16,00%	12-	16,24%	14-	16,15%	15-	15,36%_x000D_
16-	15,91%	17-	15,99%	18-	16,00%	19-	16,60%	21-	16,08%	22-	16,13%	23-	16,21%	24-	16,74%	25-	16,00%	26-	15,96%	28-	15,24%_x000D_
Moyenne mensuelle:	16,10%																						_x000D_
</t>
  </si>
  <si>
    <t xml:space="preserve">Les boues sont valorisées aux endroits suivants:_x000D_
Ferme Thérox Inc. 13E_x000D_
Ferme Champorc Inc. 46_x000D_
Ferme Maroly Inc. / Structure_x000D_
Ferme Joliboeuf JL3_x000D_
Groupe Duo-Lait Senc. STG1_x000D_
Ferme Champorc Inc. P2_x000D_
Ferme Normandin Gylvie Inc. L32_x000D_
Les entreprises Magnum Inc. / Structure_x000D_
_x000D_
Quantité totale :  2270,58TM_x000D_
_x000D_
Siccité des boues:_x000D_
1-	16,09%	2-	15,47%	3-	14,84%	4-	14,00%	5-	15,84%	7-	17,52%	8-	17,62%	9-	17,09%	10-	17,16%	11-	16,00%	12-	16,82%	14-	16,00%	15-	16,26%	16-	16,40%	17-	16,75%	18-	16,00%	19-	16,57%	21-	16,52%	22-	16,62%	23-	16,67%	24-	17,06%	25-	16,00%	26-	15,84%	28-	16,00%	29-	15,64%	30-	15,73%	31-	15,28%_x000D_
Moyenne mensuelle:	16,21%																				_x000D_
</t>
  </si>
  <si>
    <t xml:space="preserve">Les boues sont valorisées aux endroits suivants:_x000D_
Les entreprises Magnum inc. / Structure_x000D_
Mine Black Lake (phase 3) 200 chemin de la Mine_x000D_
Vaillancourt, Mario (#1) / Structure_x000D_
Ferme Provençal G3 (ent)_x000D_
Ferme Joliboeuf JL3_x000D_
Ferme Fleurynoise inc. 17 (ent)_x000D_
Ferme Annaud / Structure_x000D_
_x000D_
Quantité totale: 1692.36 TM_x000D_
_x000D_
Siccité des boues:_x000D_
1-	16,00%	2-	16,47%	4-	16,59%	5-	16,14%	6-	15,86%	7-	15,68%	8-	16,00%	9-	16,71%	11-	16,06%	12-	16,29%	13-	15,96%	14-	15,76%	15-	15,00%	16-	15,31%	18-	15,89%	19-	15,13%	20-	15,57%	21-	15,84%	22-	16,00%	23-	15,55%	25-	15,19%	26-	15,47%	27-	15,26%	28-	15,34%	29-	15,00%	30-	14,87%_x000D_
Moyenne mensuelle:	15,73%																						_x000D_
</t>
  </si>
  <si>
    <t xml:space="preserve">Les boues sont valorisées aux endroits suivants:_x000D_
Mine Black Lake (Phase 3) 200 chemin de la Mine_x000D_
Ferme Fleurynoise inc. 17 (ent)_x000D_
Ferme Fleurynoise inc. 23 (ent)_x000D_
Vaillancourt, Mario (#1) / Structure_x000D_
Ferme François Gagnon (L'Avenir) 7_x000D_
Ferme Normandin Gyvie inc. L32_x000D_
Ferme Pierre Létourneau inc. 21_x000D_
Ferme Maroly inc. / Structure_x000D_
Ferme Maroly inc. 30 à 33_x000D_
Ferme Janayo / Structure_x000D_
Entreprises Fermagri SENC 9 (ent)_x000D_
Entreprises Fermagri SENC RG1 (ent)_x000D_
Ferme Évolution senc 3 (ent)_x000D_
Ferme Thérox inc. 13E_x000D_
Ferme Petit Québec senc 3 (ent)_x000D_
_x000D_
Quantité totale: 2017.81 TM_x000D_
_x000D_
Siccité des boues:_x000D_
2-14,95% 	3-15,44% 	4-15,73% 	5-15,72% 	6-15,00% 	7-15,72% 	8-15,35% 	9-15,38%	 10-15,68% 	11-15,62%	12-15,72%	13-15,00%	14-15,53	16-16,10%	17-17,08%	18-16,49%	19-18,01%	20-15,00%	21-16,36%	23-16,93%	24-16,55%	25-16,35%	26-16,21%	27-16,00%	28-16,17	30-17,56%	31-16,33%_x000D_
Moyenne mensuelle:	16,00%																						_x000D_
</t>
  </si>
  <si>
    <t xml:space="preserve">Le boues sont valorisées aux endroits suivants:_x000D_
Ferme Janayo / Structure_x000D_
Ferme Petit Québec senc 3 (ent)_x000D_
Agro MSR inc. / Structure_x000D_
Entreprises Fermagri SENC 9 (ent)_x000D_
Vaillancourt, Mario (#1) / Structure_x000D_
Ferme Coureurs des bois 12 (ent)_x000D_
Ferme L. Bolduc inc. 9_x000D_
Les entreprises Magnum inc. / Structure_x000D_
Ferme Valbois senc M1 (ent)_x000D_
Ferme Valbois senc E1-E2-E5_x000D_
Ferme Vervi 34B_x000D_
Ferme Ben-Y enr. B18_x000D_
_x000D_
Quantité totale: 1929.52 TM_x000D_
_x000D_
Siccité des boues:_x000D_
1	17,03%	2	18,03%	3	17,00%	4	17,68%	6	17,56%	7	16,79%	8	17,17%	9	16,46%	10	17,00%	11	16,90%	13	17,03%	14	17,24%	15	15,84%	16	15,45%	17	15,00%	18	16,45%	20	16,54%	21	16,41%	22	16,62%	23	16,00%	24	16,96%	25	16,86%	27	17,34%	28	16,81%	29	16,33%	30	16,00%_x000D_
Moyenne mensuelle:	16,71%																					_x000D_
</t>
  </si>
  <si>
    <t xml:space="preserve">Les boues ont été valorisées aux endroits suivants:_x000D_
Ferme Vervi 34B_x000D_
Ferme L. Bolduc inc. 9_x000D_
Ferme Double H (1987) inc. Juge_x000D_
Vaillancourt, Mario (#1) / Structure_x000D_
Breault, Robert 4 Côté maison_x000D_
Ferme Thérox inc. 1 (ent)_x000D_
Ferme Joliboeuf JL3_x000D_
Ferme Coureurs des bois L05 (ent)_x000D_
Ferme Normandin Gyvie inc. L32_x000D_
Désorcy, Martin Audet 12_x000D_
_x000D_
Quantité totale: 937 TM_x000D_
_x000D_
Siccité des boues:_x000D_
1-	16,27%	2-	15,94%	4-	16,69%	5-	16,23%	6-	17,00%	7-	16,00%	8-	15,85%	9-	16,30%	12-	16,78%	13-	16,70%	14-	16,75%	15-	16,00%_x000D_
16-	16,55%	18-	17,98%	19-	17,68%	20-	16,68%	21-	16,20%	22-	17,00%	23-	16,61%	25-	16,51%	26-	16,77%	27-	16,16%	28-	16,46	29-	16,00%	30-	18,74%_x000D_
Moyenne mensuelle:	16,63%																						_x000D_
</t>
  </si>
  <si>
    <t xml:space="preserve">Les boues ont été valorisées aux endroits suivants:_x000D_
_x000D_
Ferme Desrosiers Enr. MB1_x000D_
Ferme Normandin Gyvie inc. L32_x000D_
Ferme Thérox inc. 1 (ent)_x000D_
Désorcy, Martin Audet 12_x000D_
Vaillancourt, Mario (#1) / Structure_x000D_
Ferme Janayo / Structure_x000D_
Ferme Isalix inc. L32_x000D_
Ferme Joliboeuf 12_x000D_
Ferme L. Bolduc inc. 1 (Nico)_x000D_
Mine Black Lake (Phase 3) 200 chemin de la Mine_x000D_
_x000D_
Quantité totale: 1375,44 TM_x000D_
_x000D_
Siccité des boues:_x000D_
1	18,58%	2	17,02%	3	18,18%	4	17,75%	5	18,00%	6	17,69%	8	17,88%	9	18,02%	10	17,85%	11	17,82%	12	17,00%	13	17,25%		15	17,10%_x000D_
16	15,93%	17	16,46%	18	16,32%	19	14,00%	20	15,72%	22	16,44%	23	15,39%	24	15,65%	25	16,63%	26	16,00%	27	17,24%	29	17,90%	30	17,04%	31	17,00%_x000D_
Moyenne mensuelle:	16,96%																						_x000D_
</t>
  </si>
  <si>
    <t xml:space="preserve">Les boues ont été valorisées aux endroits suivants:_x000D_
_x000D_
Mine Black Lake (Phase 3) 200 chemin de la Mine_x000D_
Vaillancourt, Mario (#1) / Structure_x000D_
Breault, Robert champ 5_x000D_
Ferme Valbois senc E1-E2-E3_x000D_
Breault, Robert champ 7_x000D_
Bergeron, Gilles 4 (ent)_x000D_
Ferme Maroly inc. / Structure_x000D_
_x000D_
Quantité totale : 1444,43 TM_x000D_
_x000D_
Siccité des boues :_x000D_
_x000D_
1-	17,54%	2-	16,00%	3-	16,23%	5-	15,36%	6-	16,88%	7-	16,22%	8-	16,50%	9-	15,00%	10-	15,22%	12-	16,72%	13-	16,91%	14-	16,71%	15-	16,07%_x000D_
16-	16,00%	17-	15,60%	19-	17,11%	20-	17,63%	21-	17,47%	22-	17,34%	23-	16,00%	24-	17,13%	26-	17,62%	27-	17,59%	28-	18,05%	29-	18,10%	30-	17,00%_x000D_
Moyenne mensuelle:	16,69%																						_x000D_
</t>
  </si>
  <si>
    <t xml:space="preserve">Les boues ont été valorisées aux endroits suivants:_x000D_
_x000D_
Bétail Pro-Grip senc 19 (ent)_x000D_
Ferme Raymond Ch. #18 (Ent)_x000D_
Ferme Fleurynoise inc. 20 (ent)_x000D_
Ferme Lexya Holstein Jersey senc / structure_x000D_
Jacques, Éric champ GA10_x000D_
Ranch 999 4B_x000D_
Jacques, Éric MD2 (ent)_x000D_
_x000D_
Quantité totale: 1318,37 TM_x000D_
_x000D_
Siccité des boues (%) :_x000D_
1	17,82%	3	17,54%	4	17,14%	5	17,16%	6	16,85%	7	17,00%	8	16,80%	10	16,96%	11	16,32%	12	15,87%	13	16,44%	14	16,00%	15	15,10%_x000D_
17	15,25%	18	16,23%	19	16,20%	20	16,10%	21	15,00%	22	15,72%	24	16,46%	25	14,95%	26	15,86%	27	15,28%	28	17,00%	29	15,56%	_x000D_
31	16,15%_x000D_
Moyenne mensuelle:	16,26%																						_x000D_
</t>
  </si>
  <si>
    <t xml:space="preserve">Les boues ont été valorisées aux endroits suivants:_x000D_
_x000D_
Jacques, Éric MD2 (ent)_x000D_
Jacques, Éric Champ #102_x000D_
Breault, Robert 4 Côté maison_x000D_
Ferme Duberger inc. VIC 1_x000D_
Ferme Janayo / Structure_x000D_
Vaillancourt, Mario Champ 38 (Chabot-Chemin Soucy)_x000D_
Ferme Maroly inc. / Structure_x000D_
_x000D_
_x000D_
Quantité totale: 1850,58 TM_x000D_
_x000D_
Siccité des boues (%):_x000D_
1	16,17%	2	15,76%	3	16,22%	4	15,00%	5	15,78%	7	15,84%	8	15,18%	9	15,49%	10	15,59%	11	15,00%	12	14,68%	14	15,61%	15	15,21%_x000D_
16	15,32%	17	15,52%	18	15,00%	19	15,00%	21	15,16%	22	15,16%	23	15,19%	24	15,07%	25	15,00%	26	15,23%	28	16,28%	29	15,89%	30	15,90%_x000D_
Moyenne mensuelle:	15,43%																				_x000D_
</t>
  </si>
  <si>
    <t xml:space="preserve">Les boues ont été valorisées aux endroits suivants:_x000D_
_x000D_
- Ferme Maroly inc. / Structure_x000D_
- Vaillancourt, Mario Fosse #2 / Structure_x000D_
- Agro MSR inc. / Structure_x000D_
- Vaillancourt, Mario (#1) / Structure_x000D_
- Mine Black Lake (Phase 3) 200 chemin de la Mine_x000D_
- Vaillancourt, Mario champ 5_x000D_
- Vaillancourt, Mario champ 68 (Dion)_x000D_
- Vaillancourt, Mario champ 13_x000D_
- Ferme Lexya Holstein Jersey senc / structure_x000D_
- Entreprises Fermagri SENC 9 (ent)_x000D_
- Vaillancourt, Mario champ 41_x000D_
_x000D_
Quantité totale: 1911.65 TM_x000D_
_x000D_
Siccité des boues (%):																													_x000D_
1	16,14%	2	15,00%	3	15,64%	5	15,67%	7	15,77%	8	16,33%	9	16,00%	10	15,59%	13	15,89%	14	16,04%	15	15,82%_x000D_
16	15,00%	17	15,76%	19	15,64%	21	15,42%	22	14,00%	23	15,54%	24	16,17%	26	16,31%	27	16,10%	28	15,89%	29	16,00%	30	16,30%_x000D_
31	16,26%_x000D_
Moyenne mensuelle:	15,76%																						_x000D_
_x000D_
</t>
  </si>
  <si>
    <t xml:space="preserve">1 Mètre Cube déchet solide, disposé LET Gaspé </t>
  </si>
  <si>
    <t>1 mètre cube déchets disposé, LET Gaspé.</t>
  </si>
  <si>
    <t>1 mètre cube, disposé LET Gaspé.</t>
  </si>
  <si>
    <t>2 mètres cubes de déchets retirés</t>
  </si>
  <si>
    <t>2 mètres cubres</t>
  </si>
  <si>
    <t>1 mètre 3/4 déchets retirés</t>
  </si>
  <si>
    <t>Déchets retirés 1 1/4 mètres cubes</t>
  </si>
  <si>
    <t>Déchets retirés 3 mètres cubes</t>
  </si>
  <si>
    <t>Méthode de disposition : Enfouissement Lieu de disposition : L.E.T. de la MRC de Charlevoix-Est Quantité de boues évacuée : environ 51.44m3 (43.05 tonnes) provenant des bassins 1 et 2 Date d'opération du pressoir : 05-06-12-18-20-24-27. Siccité moyenne : 38.43% Bassin de boues 1 et 2.</t>
  </si>
  <si>
    <t>Méthode de disposition : Enfouissement Lieu de disposition : L.E.T. de la MRC de Charlevoix-Est Quantité de boues évacuée : environ 53.27 m3 (45.36 tonnes) provenant des bassins 1 et 2 Date d'opération du pressoir : 1-7-10-14-17-21-24-28. Siccité moyenne : 38% Bassin de boues 1 et 2.</t>
  </si>
  <si>
    <t>Méthode de disposition : Enfouissement Lieu de disposition : L.E.T. de la MRC de Charlevoix-Est Quantité de boues évacuée : environ 65.57 m3 (55.84 tonnes) provenant des bassins 1 et 2 Date d'opération du pressoir : 3-7-10-14-17-21-24-28. Siccité moyenne : 39% Bassin de boues 1 et 2.</t>
  </si>
  <si>
    <t>_x000D_
Méthode de disposition : Enfouissement Lieu de disposition : L.E.T. de la MRC de Charlevoix-Est Quantité de boues évacuée : environ 56.62 m3 (48.22 tonnes) provenant des bassins 1 et 2 Date d'opération du pressoir : 4-6-11-12-14-19-21-25-28. Siccité moyenne : 38% Bassin de boues 1 et 2.</t>
  </si>
  <si>
    <t>Méthode de disposition : Enfouissement Lieu de disposition : L.E.T. de la MRC de Charlevoix-Est Quantité de boues évacuée : environ 83 m3 (47.58 tonnes) provenant des bassins 1 et 2 Date d'opération du pressoir : 2-5-9-11-16-19-24-26-30 Siccité moyenne : 37.33% Bassin de boues 1 et 2.</t>
  </si>
  <si>
    <t>Méthode de disposition : Enfouissement Lieu de disposition : L.E.T. de la MRC de Charlevoix-Est Quantité de boues évacuée : environ 109.86 m3 (63.22 tonnes) provenant des bassins 1 et 2 Date d'opération du pressoir : 2-6-9-13-16-20-23-27-30 Siccité moyenne : 39.27% Bassin de boues 1 et 2.</t>
  </si>
  <si>
    <t>Méthode de disposition : Enfouissement Lieu de disposition : L.E.T. de la MRC de Charlevoix-Est Quantité de boues évacuée : environ 96.91 m3 (55.77 tonnes) provenant des bassins 1 et 2 Date d'opération du pressoir : 4-7-11-14-18-21-25-28 Siccité moyenne : 39.32% Bassin de boues 1 et 2.</t>
  </si>
  <si>
    <t>Méthode de disposition : Enfouissement Lieu de disposition : L.E.T. de la MRC de Charlevoix-Est Quantité de boues évacuée : environ 120.66m3 (69.44 tonnes) provenant des bassins 1 et 2 Date d'opération du pressoir : 1-4-8-11-15-18-22-25-29 Siccité moyenne : 38.24% Bassin de boues 1 et 2.</t>
  </si>
  <si>
    <t>Méthode de disposition : Enfouissement Lieu de disposition : L.E.T. de la MRC de Charlevoix-Est Quantité de boues évacuée : environ 74.31 m3 (42.76 tonnes) provenant des bassins 1 et 2 Date d'opération du pressoir : 1-6-8-12-15-19-22-26-29 Siccité moyenne : 38% Bassin de boues 1 et 2.</t>
  </si>
  <si>
    <t>Méthode de disposition : Enfouissement Lieu de disposition : L.E.T. de la MRC de Charlevoix-Est Quantité de boues évacuée : environ 85 m3 (56.85 tonnes) provenant des bassins 1 et 2 Date d'opération du pressoir : 03-04-06-11-13-17-20-26-27-31. Siccité moyenne : 36% Bassin de boues 1 et 2.</t>
  </si>
  <si>
    <t>Méthode de disposition : Enfouissement Lieu de disposition : L.E.T. de la MRC de Charlevoix-Est Quantité de boues évacuée : environ 83.7 m3 (56.03 tonnes) provenant des bassins 1 et 2 Date d'opération du pressoir : 03-07-10-14-17-21-24 et 28. Siccité moyenne : 34.9% Bassin de boues 1 et 2.</t>
  </si>
  <si>
    <t>Méthode de disposition : Enfouissement Lieu de disposition : L.E.T. de la MRC de Charlevoix-Est Quantité de boues évacuée : environ 117.55 m3 (78.69 tonnes) provenant des bassins 1 et 2 Date d'opération du pressoir : 1-5-7-12-13-14-19-20-22-27 et 29. Siccité moyenne : 35.12% Bassin de boues 1 et 2.</t>
  </si>
  <si>
    <t xml:space="preserve">8 novembre 2022 par Sani-Charlevoix_x000D_
</t>
  </si>
  <si>
    <t>Ouvrage municipal d'assainissement des eaux usées de La Pocatière</t>
  </si>
  <si>
    <t>La Pocatière</t>
  </si>
  <si>
    <t>Vidange du bassin #1.  Début de la vidange le 26 juin 2022 et fin de la vidange le 19 juillet 2022.  La méthode utilisé est par pompage des des boues et dans l'envoi dans des géotubes.  La quantité de boues extraite est de 408 tonnes approximativement.  Le taux de siccité moyen des boues est de 2%.</t>
  </si>
  <si>
    <t>Vidange du bassin #1. Début de la vidange le 26 juin 2022 et fin de la vidange le 19 juillet 2022. La méthode utilisé est par pompage des des boues et dans l'envoi dans des géotubes. La quantité de boues extraite est de 408 tonnes approximativement. Le taux de siccité moyen des boues est de 2%.</t>
  </si>
  <si>
    <t>Ouvrage municipal d'assainissement des eaux usées de Lac-Etchemin</t>
  </si>
  <si>
    <t>Lac-Etchemin</t>
  </si>
  <si>
    <t>bassin 3b - début le 3 novembre pour se terminer le 10 novembre. vider par pompage - 350 mètres cubes avec une siccité moyenne de 5 %.</t>
  </si>
  <si>
    <t xml:space="preserve">Emmener en camion au mine a Black Lake.   33,01 mètres cubes avec une siccité de 44% en moyenne.  provient d'un lit de séchage pour le bassin 3a.  Le tout a débuté le 21 novembre pour se terminer le 23 novembre. </t>
  </si>
  <si>
    <t>84,3 t.m. de boues déshydratées ont été transportées sur nos plateformes de compostage, Écocentre, rue Pie XI, Lac-Mégantic. Les boues avaient une siccité moyenne de 16,52%.</t>
  </si>
  <si>
    <t>104.47 t.m. de boues déshydratées ont été transportées sur nos plateformes de compostage, à l'Écocentre, rue Pie XI, Lac-Mégantic. Les boues déshydratées avaient une siccité moyenne de16.14%.</t>
  </si>
  <si>
    <t>136,89 t.m. de boues déshydratées ont été transportées sur nos plateformes de compostage à l'Écocentre, rue Pie XI, Lac-Mégantic. Les boues avaient une siccité moyenne de 16.44%.</t>
  </si>
  <si>
    <t>102,24 t.m. de boues déshydratées ont été transportées sur nos plateformes de compostage à l'Écocentre, rue Pie XI, Lac-Mégantic. Les boues avaient une siccité moyenne de 17,96%.</t>
  </si>
  <si>
    <t xml:space="preserve">La siccité moyenne pour le mois de mai a été de 16.60 %. La quantité de boue déshydratées sortie de l'usine d'épuration (filtre à bande) est de 81.57 tonne métrique. Une partie de cette boue, soit 42.35 Tonnes métrique a été acheminé par benne à nos plateformes de compostage à l'Écocentre de Lac Mégantic au 5138 Rue Pie Xi, Lac-Mégantic, QC G6B 2S3, du 1 mai au 17 mai.  Puis du 17 au 31 mai, une quantité de 39.22 tonne métrique a été acheminé à des fins de valorisation agricole au 1022, 2e rang sud, Weedon, Qc, J0B 3J0_x000D_
</t>
  </si>
  <si>
    <t xml:space="preserve">Il y a eu 90,43 tonnes métriques de boues déshydratées sortie de l'usine (filtre à bande) par la benne à des fins de valorisation agricole au 1022, 2e rang sud, Weedon, Qc, J0B 3J0. Puis il y a eu 26.92 tonnes métriques de boues déshydratées sortie de l'usine (filtre à bande) par la benne en direction de l'Écocentre de Lac Mégantic à nos plateformes de compostage au 5138 Rue Pie Xi, Lac-Mégantic, QC G6B 2S3 (seulement le 10 et 17 juin).  Pour un grand total de 117.35 tonnes métriques de boue évacuées à siccité moyenne de 18.63%._x000D_
</t>
  </si>
  <si>
    <t>Entre le 1 et le 31 juillet, il y a eu  82,43  tonnes métriques de boues déshydratées sortie de l'usine (filtre à bande) par la benne uniquement à des fins de valorisation agricole au 1022, 2e rang sud, Weedon, Qc, J0B 3J0. Puis la siccité moyenne pour l'ensemble du mois est de 17,13 %.</t>
  </si>
  <si>
    <t xml:space="preserve">La siccité moyenne des boues déshydratées ( à la sortie du filtre à bande)   pour le mois d'août est de 16.56%. Au total, 97,67 tonnes de boues déshydratées sont sorti du filtre à bande pour le mois d'août. De ce nombre, 41,97 tonnes ont été acheminé par benne à des fins de valorisation agricole au 1022, 2ième rang sud à Weedon, Qc, J0B 3J0 pendant la période du 1 au 11 août inclusivement.  Par la suite, 45,38 tonnes ont été envoyé à un nouveau site de valorisation agricole soit le 140 A, rang 1 sud, Saint-Ludger, QC, G0M 1W0., du au 11 août au 31 août, excluant le transport de benne du 18 août, dont les 10,32 tonnes ont été amené au plateforme de compostage de notre écocentre au 5138 Rue Pie Xi, Lac-Mégantic, QC G6B 2S3._x000D_
</t>
  </si>
  <si>
    <t>un total de 110.97 t.m envoyé pour valorisation agricole_St-ludger et valorisation agricole_weedon. la boues avaient une siccité moyenne de 18.86%</t>
  </si>
  <si>
    <t>un total de 90.07 t.m envoyé pour valorisation agricole_St-ludger etcompostage_ecocentre. la boues avaient une siccité moyenne de 17.59%</t>
  </si>
  <si>
    <t>Un total de 87.85 t.m envoyé à lécocentre de Mégantic pour compostage. Écocentre situées au 5138 Rue Pie Xi, Lac-Mégantic, QC G6B 2S3. La boue avait une siccité moyenne de 15.94%</t>
  </si>
  <si>
    <t>Un total de 80,74 T.m envoyée à lécocentre mégantic situé au 5138 Rue Pie Xi, Lac-Mégantic, QC G6B 2S3. La boue avait une siccité moyenne de 15.86%</t>
  </si>
  <si>
    <t>Ouvrage municipal d'assainissement des eaux usées de Lac-Supérieur (Fraternité-sur-le-Lac)</t>
  </si>
  <si>
    <t>Lac-Supérieur</t>
  </si>
  <si>
    <t>vidange de la grosse fosse septique ainsi que les 2 fosses septiques en amont de la station des eaux usées.</t>
  </si>
  <si>
    <t xml:space="preserve">Disposition des 2 sacs de boues suite à la vidange des étangs 1 et 2 de 2021. Valorisation par la firme Englobe. Les sacs ont été vidés à l'aide de pelle mécanique et de camion benne. 723,1 tonne de matière humide évacuées, 188,54 tonne de matières sèches. Siccité moyenne de 26%. 7 et 8 septembre 2022._x000D_
</t>
  </si>
  <si>
    <t>Disposition des déchets dans le conteneur a déchets_x000D_
Quantité : 1.06 m3</t>
  </si>
  <si>
    <t>Disposition des rebuts dans le conteneur à déchets_x000D_
Quantité :1.65 m3</t>
  </si>
  <si>
    <t>Disposition des déchets dans le conteneur a déchets_x000D_
Quantité : 1.92 m3</t>
  </si>
  <si>
    <t>Disposition des déchets dans le conteneur a déchets_x000D_
Quantité :  1.61 m3</t>
  </si>
  <si>
    <t>disposition des déchets dans le conteneur a déchets_x000D_
quantité : 2.18 M3</t>
  </si>
  <si>
    <t>Disposition des rebuts dans le conteneur a déchets._x000D_
Quantité : 2.01M3</t>
  </si>
  <si>
    <t>Disposition des rebuts dans le conteneur a déchets ._x000D_
Quantité : 3.24 M3</t>
  </si>
  <si>
    <t>Disposition des rebuts dans le conteneur a déchets._x000D_
Quantité : 3.24 m3</t>
  </si>
  <si>
    <t xml:space="preserve">Dispositions des déchets dans le conteneur a déchets_x000D_
Quantité : 2.35 M3_x000D_
</t>
  </si>
  <si>
    <t>Disposition des déchets dans la conteneur a déchets_x000D_
Quantité : 1.93 M3</t>
  </si>
  <si>
    <t>Disposition des déchets dans le conteneur a déchet_x000D_
Quantité : 1.58 M3</t>
  </si>
  <si>
    <t xml:space="preserve">Enfouissement : BFI Lachenaie 427 TM  avec siccité moyenne de 28,1 %	_x000D_
Déchet dégrillée: 16,6 m3_x000D_
             déssablée: 12,8 m3_x000D_
Aide coagulant (AE400) : 825 kg_x000D_
</t>
  </si>
  <si>
    <t xml:space="preserve">Enfouissement : BFI Lachenaie 470,1  TM  avec siccité moyenne de 28,8%	_x000D_
Déchet dégrillée: 17,6 m3_x000D_
             déssablée: 16,1 m3_x000D_
Aide coagulant (AE400) : 825 kg_x000D_
</t>
  </si>
  <si>
    <t xml:space="preserve">Enfouissement : BFI Lachenaie 424,7 TM  avec siccité moyenne de 31,3 %	_x000D_
Déchet dégrillée: 14,5 m3_x000D_
             déssablée: 17,6 m3_x000D_
Aide coagulant (AE400) : 700 kg_x000D_
</t>
  </si>
  <si>
    <t xml:space="preserve">Lieu d'élimination pour l'enfouissement : Lachenaie pour  356.6 TM avec siccité moyenne de 34.9%_x000D_
Déchets: dégrillée: 13.2 m3_x000D_
               dessablée: 14.4 m3_x000D_
Aide coagulant: AE440 : 725 kg_x000D_
</t>
  </si>
  <si>
    <t xml:space="preserve">Lieu d'élimination pour l'enfouissement : Lachenaie pour  467.9 TM avec siccité moyenne de 31.1%_x000D_
Déchets: dégrillée: 11.1 m3_x000D_
               dessablée: 28.4 m3_x000D_
Aide coagulant: AE440 : 725 kg_x000D_
</t>
  </si>
  <si>
    <t xml:space="preserve">Lieu d'élimination pour l'enfouissement : Lachenaie pour  518.5 TM avec siccité moyenne de 31.3%_x000D_
Déchets: dégrillée:: 14 m3_x000D_
               dessablée: 36 m3_x000D_
Aide coagulant: AE440 : 875 kg_x000D_
</t>
  </si>
  <si>
    <t xml:space="preserve">Enfouissement : BFI Lachenaie 493.9 TM  avec siccité moyenne de 32.6 %	_x000D_
Déchet dégrillée: 14.0 m3_x000D_
             déssablée: 27,2 m3_x000D_
Aide coagulant (AE400) : 800 kg_x000D_
</t>
  </si>
  <si>
    <t xml:space="preserve">Enfouissement : BFI Lachenaie 483.1 TM  avec siccité moyenne de 31.1 %	_x000D_
Déchet dégrillée: 16.8 m3_x000D_
             déssablée: 27.2 m3_x000D_
Aide coagulant (AE400) : 675 kg_x000D_
</t>
  </si>
  <si>
    <t xml:space="preserve">Enfouissement : BFI Lachenaie 435.38 TM  avec siccité moyenne de 29.6 %	_x000D_
Déchet dégrillée:  16.9 m3_x000D_
             déssablée: 23.2 m3_x000D_
Aide coagulant (AE400) : 725 kg_x000D_
</t>
  </si>
  <si>
    <t xml:space="preserve">Enfouissement : BFI Lachenaie 471.8TM  avec siccité moyenne de 29.5 %	_x000D_
Déchet dégrillée:  13.5 m3_x000D_
             déssablée: 14.4 m3_x000D_
Aide coagulant (AE400) : 675 kg_x000D_
</t>
  </si>
  <si>
    <t xml:space="preserve">Enfouissement : BFI Lachenaie 448.18 TM  avec siccité moyenne de 28 %	_x000D_
Déchet dégrillée: 14,8 m3_x000D_
             déssablée: 9.6 m3_x000D_
Aide coagulant (AE400) : 875 kg_x000D_
</t>
  </si>
  <si>
    <t xml:space="preserve">Enfouissement : BFI Lachenaie 1243,47 TM  avec siccité moyenne de 28,3%	_x000D_
Déchet dégrillée: 14,25TM_x000D_
             déssablée: 16,35TM_x000D_
Aide coagulant (AE400) : 3000 kg_x000D_
</t>
  </si>
  <si>
    <t xml:space="preserve">Enfouissement boues: BFI Lachenaie 1116,3 TM  avec siccité moyenne de 28,9 %	_x000D_
Déchet dégrillée: 22,57TM_x000D_
             déssablée: 18,91 TM_x000D_
Aide coagulant (AE400) : 3000 kg_x000D_
Enfouissement granule : BFI Lachenaie 14,6 TM  avec siccité entre de 50-97 %_x000D_
_x000D_
_x000D_
_x000D_
14,58 tm déchat sécheur_x000D_
</t>
  </si>
  <si>
    <t>28,9% (boues)
50-97 % (granules)</t>
  </si>
  <si>
    <t xml:space="preserve">Enfouissement boues : BFI Lachenaie 1072,15 TM  avec siccité moyenne de 29,2 %	_x000D_
Déchet dégrillée: 16,79 TM_x000D_
             déssablée: 17,83 TM_x000D_
Aide coagulant (AE400) : 3000 kg_x000D_
_x000D_
Enfouissement granules : BFI Lachenais  17,83 TM avec siccité entre 45 - 96% _x000D_
</t>
  </si>
  <si>
    <t>29,2% (boues)
45-96 % (granules)</t>
  </si>
  <si>
    <t xml:space="preserve">Lieu d'élimination pour l'enfouissement : Lachenaie pour  1057,77 TM avec siccité moyenne de 28,7%_x000D_
Déchets: dégrillée: 22,49 TM_x000D_
               dessablée: 20,18 TM_x000D_
Aide coagulant: AE440 : 3000 kg_x000D_
Granule sécheur : Lachenaie pour 9.27 TM avec siccité moyenne entre de 50 et 96,5 %_x000D_
</t>
  </si>
  <si>
    <t>28,7% (boues)
50-96,5 % (granules)</t>
  </si>
  <si>
    <t xml:space="preserve">Lieu d'élimination pour l'enfouissement : Lachenaie pour 2060.7 TM avec siccité moyenne de 28.6%_x000D_
Déchets: dégrillée: 26.3 TM_x000D_
               dessablée: 25.4 TM_x000D_
Aide coagulant: AE440 : 3000 kg_x000D_
Granule sécheur : Lachenaie pour 19.5 TM avec siccité moyenne entre de 50 et 96,5 %_x000D_
</t>
  </si>
  <si>
    <t>28,6% (boues)
50-96,5 % (granules)</t>
  </si>
  <si>
    <t xml:space="preserve">Lieu d'élimination pour l'enfouissement : Lachenaie pour  1654 TM avec siccité moyenne de 26.3%_x000D_
Déchets: dégrillée: 23.16 TM_x000D_
               dessablée: 44.12 TM_x000D_
Aide coagulant: AE440 : 3000 kg_x000D_
Granule sécheur : Lachenaie pour 17.72 TM avec siccité moyenne entre de 50 et 96,5 %_x000D_
_x000D_
</t>
  </si>
  <si>
    <t>26,3% (boues)
50-96,5 % (granules)</t>
  </si>
  <si>
    <t xml:space="preserve">Enfouissement : BFI Lachenaie 1138.9 TM  avec siccité moyenne de 27.2%	_x000D_
Déchet dégrillée: 30.18 TM_x000D_
             déssablée: 15.42 TM_x000D_
Aide coagulant (AE400) : 3750 kg_x000D_
</t>
  </si>
  <si>
    <t xml:space="preserve">Enfouissement : BFI Lachenaie 1075.6 TM  avec siccité moyenne de 27.4 %	_x000D_
Déchet dégrillée: 22.27 TM_x000D_
             déssablée: 15.83 TM_x000D_
Aide coagulant (AE400) : 3750 kg_x000D_
</t>
  </si>
  <si>
    <t xml:space="preserve">Enfouissement : BFI Lachenaie 377.6 TM  avec siccité moyenne de 28 %	_x000D_
Déchet dégrillée: 14.58 TM_x000D_
             déssablée: 38.79 TM_x000D_
Aide coagulant (AE400) : 3750 kg_x000D_
</t>
  </si>
  <si>
    <t>Enfouissement : BFI Lachenaie 422,3 TM  avec siccité moyenne de 28,1 %	_x000D_
Déchet dégrillée: 17,93 TM_x000D_
             déssablée: 22,97 TM_x000D_
Aide coagulant (AE400) : 3750 kg_x000D_
_x000D_
Enfouissement granules: BFI Lachenaie 27.88 TM  avec siccité moyenne entre 50 a 96 %</t>
  </si>
  <si>
    <t>28,1% (boues)
50-96 % (granules)</t>
  </si>
  <si>
    <t xml:space="preserve">Enfouissement : BFI Lachenaie 1920.1 TM  avec siccité moyenne de 29.3 %	_x000D_
Déchet dégrillée: 12.9 TM_x000D_
             déssablée: 17.0 TM_x000D_
Aide coagulant (AE400) : 2250 kg_x000D_
</t>
  </si>
  <si>
    <t xml:space="preserve">Enfouissement : BFI Lachenaie 2155,8 TM  avec siccité moyenne de 27,7%	_x000D_
Déchet dégrillée: 25,52 TM_x000D_
             déssablée: 17,55 TM_x000D_
Aide coagulant (AE400) : 3990 kg_x000D_
</t>
  </si>
  <si>
    <t>Enfouissement : BFI Lachenaie 706,4 TM  avec siccité moyenne de 25,6 %	_x000D_
Déchet dégrillée: 3,9 m3_x000D_
             déssablée: 5,4 m3</t>
  </si>
  <si>
    <t>Enfouissement : BFI Lachenaie 693,6 TM  avec siccité moyenne de 26,5 %	_x000D_
Déchet dégrillée: 3,5 m3_x000D_
             déssablée: 5,5 m3</t>
  </si>
  <si>
    <t xml:space="preserve">Enfouissement boues : BFI Lachenaie 839,6 TM  avec siccité moyenne de 27,3 %	_x000D_
Déchet dégrillée: 4,1 m3_x000D_
             déssablée: 7,6 m3_x000D_
</t>
  </si>
  <si>
    <t xml:space="preserve">Lieu d'élimination pour l'enfouissement : Lachenaie pour 837.8 TM avec siccité moyenne de 28.8%_x000D_
Déchets: dégrillée: 4.5 m3_x000D_
               dessablée: 4.2 m3_x000D_
</t>
  </si>
  <si>
    <t xml:space="preserve">Lieu d'élimination pour l'enfouissement : Lachenaie pour 826.88 TM avec siccité moyenne de 28.2%_x000D_
Déchets: dégrillée: 3.2 m3_x000D_
               dessablée: 4,0 m3_x000D_
_x000D_
</t>
  </si>
  <si>
    <t xml:space="preserve">Lieu d'élimination pour l'enfouissement : Lachenaie pour 803.5 TM avec siccité moyenne de 28.8%_x000D_
Déchets: dégrillée: 3.6 m3_x000D_
               dessablée: 5.7 m3_x000D_
</t>
  </si>
  <si>
    <t xml:space="preserve">Enfouissement : BFI Lachenaie 662.9 TM  avec siccité moyenne de 27.4 %	_x000D_
Déchet dégrillée: 2.9 m3_x000D_
             déssablée: 4.3 m3_x000D_
</t>
  </si>
  <si>
    <t xml:space="preserve">Enfouissement : BFI Lachenaie 730.9 TM  avec siccité moyenne de 26,1 %	_x000D_
Déchet dégrillée: 2,7 m3_x000D_
             déssablée: 4.8 m3_x000D_
</t>
  </si>
  <si>
    <t xml:space="preserve">Enfouissement : BFI Lachenaie 623.5 TM  avec siccité moyenne de 28.8 %	_x000D_
Déchet dégrillée: 3.1 m3_x000D_
             déssablée: 4.1 m3_x000D_
</t>
  </si>
  <si>
    <t xml:space="preserve">Enfouissement : BFI Lachenaie 586.4 TM  avec siccité moyenne de 27.8 %	_x000D_
Déchet dégrillée: 2.8 m3_x000D_
             déssablée: 3.1 m3_x000D_
</t>
  </si>
  <si>
    <t xml:space="preserve">Enfouissement : BFI Lachenaie 683.4 TM  avec siccité moyenne de 28.2 %	_x000D_
Déchet dégrillée: 3.3 m3_x000D_
             déssablée: 4,7 m3_x000D_
</t>
  </si>
  <si>
    <t xml:space="preserve">Enfouissement : BFI Lachenaie 726.6TM  avec siccité moyenne de 26.9 %	_x000D_
Déchet dégrillée: 3 m3_x000D_
             déssablée: 3,6 m3_x000D_
</t>
  </si>
  <si>
    <t>Ouvrage municipal d'assainissement des eaux usées de Lavaltrie</t>
  </si>
  <si>
    <t>Lavaltrie</t>
  </si>
  <si>
    <t xml:space="preserve">La vidange a débuté le 27 juillet et devrait se prolonger pendant 4 à 5 semaines._x000D_
Les deux étangs seront vidangés. _x000D_
Aucune donnée de laboratoire jusqu'À maintenant n'ont été reçu sur la siccité._x000D_
La quantité soutirée sera connue lors du décompte du surveillant de chantier._x000D_
</t>
  </si>
  <si>
    <t>Disposition dans les champs de producteurs situés à proximité. Les informations de siccité, quantité, etc. seront connus lors de la fin du mandat.</t>
  </si>
  <si>
    <t>La compilation des données n'est pas encore terminée.</t>
  </si>
  <si>
    <t>La compilation des données n'est pas terminée.</t>
  </si>
  <si>
    <t>du 13 au 19 juillet_x000D_
étang numéro 2,_x000D_
 pompage de 60TMS dans des géotubes stocker sur place, _x000D_
siccité moyenne 4%</t>
  </si>
  <si>
    <t>Ouvrage municipal d'assainissement des eaux usées de Les Cèdres</t>
  </si>
  <si>
    <t>Les Cèdres</t>
  </si>
  <si>
    <t xml:space="preserve">Identification : Étang #1_x000D_
Date de début : 5 juin 2022_x000D_
Date de fin : 14 juin 2022_x000D_
Méthode : Pompage_x000D_
Quantité soutirée : 1 282 m3_x000D_
Siccité moyenne : 22% _x000D_
_x000D_
Identification : Étang #2A_x000D_
Date de début : 15 juin 2022_x000D_
Date de fin : 16 juin 2022_x000D_
Méthode : Pompage_x000D_
Quantité soutirée : 152 m3_x000D_
Siccité moyenne : 19% _x000D_
_x000D_
Identification : Étang #2B_x000D_
Date de début : 17 juin 2022_x000D_
Date de fin : 19 juin 2022_x000D_
Méthode : Pompage_x000D_
Quantité soutirée : 185 m3_x000D_
Siccité moyenne : 20% _x000D_
</t>
  </si>
  <si>
    <t>Méthode 1 : Utilisation pour production de terreaux - Étang 1 - 5 au 14 juin_x000D_
Lieu 1 : Entreprise H.D.J.S Gascon Limitée, site dAlfred en Ontario_x000D_
Quantité évacuée 1 : 692 m3_x000D_
Siccité moyenne 1 : 22%_x000D_
_x000D_
Méthode 2 : Épandage pour valorisation agricole - Étang 1 - 5 au 14 juin_x000D_
Lieu 2 : Entreprise 3103-3343 Québec inc., lieu numéro X1601288_x000D_
Quantité évacuée 2 : 285 m3_x000D_
Siccité moyenne 2 : 22%_x000D_
_x000D_
Méthode 3 : Entreposage temporaire - Étang 1 - 5 au 14 juin_x000D_
Lieu 3 : Entreprise G.L Hendersen, lot 5 483 986, municipalité de Saint-Chrysostome_x000D_
Quantité évacuée 3 : 294 m3_x000D_
Siccité moyenne 3 : 24%_x000D_
_x000D_
_x000D_
Méthode : Épandage pour valorisation agricole - Étangs 2A et 2B - 15 au 19 juin_x000D_
Lieu : Entreprise 3103-3343 Québec inc., lieu numéro X1601288_x000D_
Quantité évacuée : 332 m3_x000D_
Siccité moyenne : 20%_x000D_
_x000D_
Méthode : Site denfouissement - étangs 1, 2A et 2B - 5 au 19 juin_x000D_
Lieu : Enviro Connexion, Vaudreuil transfer_x000D_
Quantité évacuée : 11 m3_x000D_
Siccité moyenne : 100%_x000D_
_x000D_
Commentaires : Déchets de dégrillage des boues lors du pompage</t>
  </si>
  <si>
    <t>Les boues ont été considérées comme ayant une densité de 0,8 tonne/m3 pour transposer le volume en tonnage. Les résidus de dégrillage ont été considérés comme des déchets et non des boues et n'ont pas été comptabilisés.</t>
  </si>
  <si>
    <t>Identification : Étangs #1, 2A et 2B_x000D_
Date de début : 29 août 2022_x000D_
Date de fin : 29 septembre 2022_x000D_
Méthode : Pompage_x000D_
Quantité soutirée : 53,89 m3_x000D_
Siccité moyenne : 100%_x000D_
Commentaires : Retrait de la végétation présente dans les étangs aérés</t>
  </si>
  <si>
    <t>Lieu de disposition de la végétation: Site de disposition des déchets de Sanivac_x000D_
Quantité évacuée : 53,89 m3_x000D_
Siccité moyenne : 100%_x000D_
Identification cellule : Étangs #1, 2A et 2B_x000D_
Date de début : 29 août 2022_x000D_
Date de fin : 29 septembre 2022_x000D_
Méthode vidange : Pompage_x000D_
Commentaires : Déchets de la végétation retirées des étangs aérés</t>
  </si>
  <si>
    <t>Aucune boue comptabilisée puisqu'il s'agit de résidus végétaux retirés des étangs.</t>
  </si>
  <si>
    <t>+/- 1m3</t>
  </si>
  <si>
    <t>1m3</t>
  </si>
  <si>
    <t xml:space="preserve">0.6 m3_x000D_
</t>
  </si>
  <si>
    <t xml:space="preserve">Entreposage des boues aux champs et valorisation agricole.  548,07 TM à une siccité moyenne de 20,1%. Disposition au besoin chez Englobe (Compost du Québec à St-Henri). </t>
  </si>
  <si>
    <t xml:space="preserve">Entreposage des boues aux champs et valorisation agricole. 488,33 TM à une siccité moyenne de 20,2 %. Disposition au besoin chez Englobe (Compost du Québec à St-Henri)._x000D_
</t>
  </si>
  <si>
    <t>Entreposage des boues aux champs et valorisation agricole. 638,90 TM à une siccité moyenne de 21,15 %. Disposition au besoin chez Englobe (Compost du Québec à St-Henri).</t>
  </si>
  <si>
    <t xml:space="preserve">Entreposage des boues aux champs et valorisation agricole. 393,84 TM à une siccité moyenne de 23,85%. Disposition au besoin chez Englobe (Compost du Québec à St-Henri)._x000D_
</t>
  </si>
  <si>
    <t>Entreposage des boues aux champs et valorisation agricole.  646,04 TM à une siccité moyenne de 20,7%. Disposition au besoin chez Englobe (Compost du Québec à St-Henri).</t>
  </si>
  <si>
    <t>Entreposage des boues aux champs et valorisation agricole. 564,23 TM à une siccité moyenne de 18,8%. Disposition au besoin chez Englobe (Compost du Québec à St-Henri).</t>
  </si>
  <si>
    <t>Entreposage des boues aux champs et valorisation agricole. 687,67 TM à une siccité moyenne de 19,75%. Disposition au besoin chez Englobe (Compost du Québec à St-Henri).</t>
  </si>
  <si>
    <t>Entreposage des boues aux champs et valorisation agricole. 466,50 TM à une siccité moyenne de 17,8%. Disposition au besoin chez Englobe (Compost du Québec à St-Henri).</t>
  </si>
  <si>
    <t>Entreposage des boues aux champs et valorisation agricole.  611,07 TM à une siccité moyenne de 18,11%. Disposition au besoin chez Englobe (Compost du Québec à St-Henri).</t>
  </si>
  <si>
    <t>Entreposage des boues aux champs et valorisation agricole.  540,47 TM à une siccité moyenne de 17,9%. Disposition au besoin chez Englobe (Compost du Québec à St-Henri).</t>
  </si>
  <si>
    <t>Entreposage des boues aux champs et valorisation agricole.  573,38 TM à une siccité moyenne de 19%. Disposition au besoin chez Englobe (Compost du Québec à St-Henri).</t>
  </si>
  <si>
    <t>La vidange de boues a été fait dans le bassin #2_x000D_
Début le 20 juillet au 27 juillet 2022_x000D_
Une vidange de 512 tonnes métrique a été fait mécaniquement avec une siccité moyenne de 27.9%</t>
  </si>
  <si>
    <t>La vidange de boues a été fait dans le bassin #2_x000D_
Début le 20 juillet au 27 juillet 2022_x000D_
Une vidange de 512 tonnes métrique a été fait mécaniquement avec une siccité moyenne de 27.9%. Les boues ont été envoyées à la ferme Alco a trois endroits différents. Le premier site est au 309, rang 3 ouest, Lyster et le deuxième et troisième site sont situés au 451, rang 1et 2 Est à Joly.</t>
  </si>
  <si>
    <t xml:space="preserve">-méthode de disposition : Valorisation agricole_x000D_
-  lieu de disposition : Ferme Fleur du Jour, 309 rang 3 ouest à Lyster  Ferme Porcine Alco, 451, rang 1 et 2 Est à Joly  Les Cultures Boucher, 1736 rand 3 et 4 Ouest à Joly._x000D_
- quantité de boues évacuée en m³ : 2136_x000D_
- quantité de boues stockée sur les lits de séchage : 2136_x000D_
- siccité moyenne des boues évacuée en % : 40.36%_x000D_
- identification du bassin ou de la cellule : 2B_x000D_
-date de début et de fin de la vidange : 17 août 2021 au 27 août 2021_x000D_
-méthode de déshydratation utilisée : dragage et déshydratation mécanique des boues, puis déposées sur le lit de séchage._x000D_
</t>
  </si>
  <si>
    <t xml:space="preserve">-Identification du bassin ou de la cellule : 2B_x000D_
-Quantité de boues évacuée en m³ : 1897.48_x000D_
-Quantité de boues stockée sur les lits de séchage : 1062 TMS extraites  455 TMS sorties donc environ 2500 tonnes métriques entreposées sur le lit présentement. _x000D_
-Siccité moyenne des boues évacuée en % : 24%_x000D_
-Date de début et de fin de la vidange : 2022 : 21 août au 3 septembre et 2e phase à venir en novembre pour compléter la vidange de 2022 aux étangs Desjardins. _x000D_
-Méthode de déshydratation utilisée : dragage et déshydratation mécanique des boues_x000D_
</t>
  </si>
  <si>
    <t xml:space="preserve">les boues sont disposer en tranché au dépotoir </t>
  </si>
  <si>
    <t>1.27 m3 disposée en tranché</t>
  </si>
  <si>
    <t>3.2 mètres cubes comme d'habitudes la disposition se fait en tranchée</t>
  </si>
  <si>
    <t>108.37 TM à 23% envoyé par camion dans une benne et géré par Agrobiosol.</t>
  </si>
  <si>
    <t>103.08 Tonne envoyé par camion dans une benne et géré par Agro Biosol.</t>
  </si>
  <si>
    <t>La siccité de boues a été établie à 23 % sur la base des 11 autres mois de 2022.</t>
  </si>
  <si>
    <t>112.43 Tonnes à 23% de siccité moyen. Envoyé dans une benne par camion et géré par Agrobiosol.</t>
  </si>
  <si>
    <t>104.20 TM à 24% de siccité moyen envoyé par camion dans une benne et géré par Agrobiosol.</t>
  </si>
  <si>
    <t>110.60 TM à 24% envoyé par camion dans une benne et géré par Agrobiosol.</t>
  </si>
  <si>
    <t>93.83 Tonne à 24% envoyé par camion dans une benne et géré par Agrobiosol.</t>
  </si>
  <si>
    <t>118.56 TM à 24 % envoyé par camion dans une benne et géré par agrobiosol.</t>
  </si>
  <si>
    <t>109.7 TM à 21% envoyé par camion dans une benne et géré par Agrobiosol._x000D_
Prendre note qu'il y une benne d'ont je n'ai pas eu le tonnage dans ce mois si.</t>
  </si>
  <si>
    <t>129.41 TM à une siccité moyen de 22.5 envoyé par camion dans une benne et géré par Agrobiosol.</t>
  </si>
  <si>
    <t xml:space="preserve">114.59 TM à une siccité moyen de 23% envoyé par camion dans une benne et géré par Agrobiosol._x000D_
</t>
  </si>
  <si>
    <t>131.53 TM à 22% de siccité moyen. Envoyé par camion dans une benne et géré par Agrobiosol.</t>
  </si>
  <si>
    <t>121.97 TM de boue à 22% de siccité évacué par camion et géré par Agrobiosol.</t>
  </si>
  <si>
    <t>la vidange des boues a été le 24 novembre. poids 36420kg ont été vider et ils sont aller les porter a la station Uteau a portage-du-fort</t>
  </si>
  <si>
    <t>ERR (PV) -2- PRINCIPAL, CELL 2 , DEBUT 2022-11-04  FIN 2022-11-14 , PAR POMPAGE DS LE LIT DE SECHAGE, 115.38 M3. PREMIERE ANNALYSE 97%HUMIDITE, MATIERE SECHE 3.5%.  DEUXIEME  96% HUMIDITE, MATIERE SECHE 4.0%</t>
  </si>
  <si>
    <t xml:space="preserve">DANS LE LIT DE GEL DEGEL POUR L HIVER </t>
  </si>
  <si>
    <t>Aucune boue considérée comme étant disposée puisqu'elles ont été acheminées vers un lit gel/dégel et seront disposées ultérieurement.</t>
  </si>
  <si>
    <t>Ouvrage municipal d'assainissement des eaux usées de L'Islet</t>
  </si>
  <si>
    <t xml:space="preserve">dans la semaine du 20 sept 2022 au 3 oct 2022 vidanges des boues _x000D_
_x000D_
étangs 1 :  durée du 20 au 26 sept 2022 , siccité moyenne 20% , poids en tonne totale traité  287,6 tonnes_x000D_
étang 2 :  du 27 au 29 sept 2022 , siccité moyenne 21%  ,  poids  totale en tonne traité 105,2 tonnes_x000D_
étang 3 :  du 30 sept au 3 oct 2022 , siccité moyenne  22% , poids  totale en tonne traité 148,3 tonnes_x000D_
</t>
  </si>
  <si>
    <t>champs d'agriculteurs</t>
  </si>
  <si>
    <t>Durant le moi de Janvier 2022, 1040488 kg de matière sèche d'une siccité moyenne de 27.2% ont été disposé. De ce total, 733001 kg de matière sèche ont été incinéré et 307488 kg de matière sèche ont été épandue.</t>
  </si>
  <si>
    <t>Boue incinérée = 652015 kg MS: siccité +27.2%_x000D_
Boue épandue aux champs= 289985 kg MS: siccité= 27%_x000D_
Total= 942000 kg MS.</t>
  </si>
  <si>
    <t>Incinération: 775771 Kg en basse sèche._x000D_
Valorisation agricole: 292421 Kg en basse sèche._x000D_
Siccité moyenne :27.5 %</t>
  </si>
  <si>
    <t xml:space="preserve">Valorisation agricole:  1139270 kg humides avec une siccité moyenne de 29%._x000D_
Incinération sur place:  5973028 Kg de matière sèche._x000D_
</t>
  </si>
  <si>
    <t>Valorisation agricole: 1606130 kg humides avec une siccité moyenne de 29.5%._x000D_
Incinération sur place : 658.6 tonnes de matière sèche.</t>
  </si>
  <si>
    <t>Incinération sur place: 712.9 tonnes de matière sèche._x000D_
Valorisation agricole : 757.6 tonnes humides avec une siccité de 30.2%.</t>
  </si>
  <si>
    <t xml:space="preserve">Lors du mois de juillet 2022, une quantité estimée de 1 164 218 kg de MS de boues déshydratées d'une siccité moyenne de 26.7% ont été évacuée soit 721 735 kg de MS par incinération à la station d'épuration et 442 483 kg de MS par épandage. </t>
  </si>
  <si>
    <t>Lors du mois d'août 2022, environ 1 065 116 kg de MS de boues déshydratées d'une siccité moyenne de 27.5% ont été disposées soit une estimation d'environ 580 388 kg de MS par incinération à la station d'épuration et 484 728 kg de MS par épandage via la firme de valorisation Viridis Environnement.</t>
  </si>
  <si>
    <t>Lors du mois de septembre 2022, un total d'environ 984 447 kg de MS de boues déshydratées d'une siccité moyenne de 28.7% ont été disposées soit 648 461 kg de MS ont été incinérées à la station d'épuration et 335 985 kg de MS ont été épandues par la firme Viridis.  Du 23 août au 9 septembre 2022, 353.01 tonnes de matières sèches d'une siccité , déshydratées à l'aide d'une centrifugeuse mobile, ont été évacuée.</t>
  </si>
  <si>
    <t xml:space="preserve">Lors du mois d'octobre 2022, une quantité totale de 891 964 kg de MS de boues déshydratées d'une siccité moyenne de 27.9 % soit 648 608 kg de MS par incinération à la station d'épuration et 243 356 kg de MES par la firme Viridis pour l'épandage. </t>
  </si>
  <si>
    <t>705 021 kg de MS d'une siccité moyenne de 27.5% de boues déshydratées par la station d'épuration ont été évacuées soit 163 969 kg de MS pour l'épandage et 541 052 kg de MS par l'incinération de la station d'épuration. Environ 506 904 kg de MS d'une siccité moyenne de 30.6% ont été déshydratées par une unité mobile de déshydratation pour être épandues. 1835 m3 de boues extraites des épaississeurs d'une siccité moyenne de 5.3 % ont été disposées par des fosses agricoles.</t>
  </si>
  <si>
    <t>28,8% (boues déshydratées)
5,3 % (boues liquides)</t>
  </si>
  <si>
    <t>Les boues avec une siccité de 5,3 % ont été considérées comme étant liquides ; une densité de 1 tonne/m3 a été utilisée pour transposer le volume en tonnage.</t>
  </si>
  <si>
    <t>Ouvrage municipal d'assainissement des eaux usées de Macamic</t>
  </si>
  <si>
    <t>Macamic</t>
  </si>
  <si>
    <t>Abitibi-Ouest</t>
  </si>
  <si>
    <t>les 3 etangs.  Debut 22 aout 2022, fin 12 septembre.  Effectuer avec drague par terrapure.  417 TMS  vidangées.</t>
  </si>
  <si>
    <t>Aucune boue considérée comme étant disposée puisqu'elles seront disposées ultérieurement.</t>
  </si>
  <si>
    <t xml:space="preserve">254350Kg de boues à une siccité moyenne de 17.45% ont été valorisées par la firme Viridis. </t>
  </si>
  <si>
    <t>210140kg de boues à une siccité moyenne de 17.6% valorisées par la firme Viridis.</t>
  </si>
  <si>
    <t>317200kg de boues à une siccité moyenne de18.7% de valorisées par la firme Viridis.</t>
  </si>
  <si>
    <t>270641 kg de boues à une siccité moyenne de 18.8% valorisé par la firme Viridis.</t>
  </si>
  <si>
    <t>236250kg de boues à une siccité moyenne de 18.1% de valorisé par la firme Viridis.</t>
  </si>
  <si>
    <t>277005 kg de boues valorisées à une siccité moyenne de 18.7% par la firme Viridis</t>
  </si>
  <si>
    <t>319000 kg de boues valorisées à une siccité moyenne de 19.4% par la firme Viridis</t>
  </si>
  <si>
    <t xml:space="preserve">215940kg de boues à une siccité moyenne de 18.8% valorisées par la firme Viridis. </t>
  </si>
  <si>
    <t xml:space="preserve">311370kg de boues à une siccité moyenne de 17.95% de valorisées par la firme Viridis. </t>
  </si>
  <si>
    <t>184720kg pour le mois à une moyenne de siccité de 18.9%. Valorisé par la firme Viridis</t>
  </si>
  <si>
    <t>225 470 Kg de boues évacuée_x000D_
siccité moyenne : 18%_x000D_
Boue valorisée par la firme VIRIDIS</t>
  </si>
  <si>
    <t>247910KG de boue à une moyenne de siccité de 17.8%  Valorisé par la firme viridis</t>
  </si>
  <si>
    <t xml:space="preserve">La disposition à été faite par la firme Viridis le 6 et le 7 septembre 2022._x000D_
La siccité moyenne est de 21%_x000D_
305.67 tonnes de boues._x000D_
Les boues se sont épaissies dans des géotubes. _x000D_
_x000D_
Voir avec Viridis pour plus de détails. </t>
  </si>
  <si>
    <t xml:space="preserve">Étang 1 et 4_x000D_
du 1 au 13 octobre inclusivement_x000D_
pompage avec drague et polymère_x000D_
étang 1 : 1293 m3 à une siccité de 2.85%_x000D_
étang 4 : 1907 m3 à une siccité de 2.85%_x000D_
_x000D_
</t>
  </si>
  <si>
    <t>Ouvrage municipal d'assainissement des eaux usées de Malartic</t>
  </si>
  <si>
    <t>Malartic</t>
  </si>
  <si>
    <t>Une vidange des boues a débuté le 26 sept. dans le bassin 1. Il va y avoir aussi vidange du bassin 4. Nous donnerons les informations complètes lorsque la vidange sera terminée  et que nous aurons eu tous les résultats.</t>
  </si>
  <si>
    <t>Les boues sont disposées à la station d'épuration dans des géo-tubes. Les autres informations suivront lorsque la vidange sera terminée.</t>
  </si>
  <si>
    <t xml:space="preserve">Identification de la cellule	                                 1	                           4_x000D_
Date de début                                              11 octobre 2022	       24 septembre 2022_x000D_
Date de fin	                                             30 octobre 2022	         10 octobre 2022_x000D_
Méthode utilisée	                                        Pompage et déshydratation passive_x000D_
Quantité soutirée (m3)	                                    16 723,36	             32 829,32_x000D_
Siccité moyenne des boues soutirées (%)	         2,27	                 1,61_x000D_
_x000D_
</t>
  </si>
  <si>
    <t xml:space="preserve">Nous avons valorisé notre boue en milieu agricole. 100.2 tonnes métriques de boue déshydratées de 17,32 % de siccité moyenne ont été livrée a la ferme Francois Rivet site Montbrun a Boucherville durant le mois de janvier. Nous avons disposé en enfouissement de 0.7 m3  de déchets du dessableur et 0.9 m3 de déches du dégrilleur au 25 rue Gagnon St-Nycéphore . </t>
  </si>
  <si>
    <t>Nous avons valorisé 91.27 tonnes métriques de boue déshydraté  sur la ferme de Francois Rivest site Montbrun a Boucherville. La siccité moyenne pour le mois est de 16.6% .  Nous avons disposées de 0.6 M3 de déchets de dégrillage et 1.2 M3 de déchets de dessablage en enfouissement au site de Boucherville .</t>
  </si>
  <si>
    <t>On a déshydraté 114.93 tonnes métrique de boue. On a atteint une siccité moyenne  de 16.9  % et on a disposée de la boue en valorisation sur la ferme Francois Rivest site Montbrun ville de Boucherville. On a disposé en enfouissement de 0.9 m3 de déchets du dessableur et .0.9 m3 de déchets du dégrilleur .</t>
  </si>
  <si>
    <t xml:space="preserve">Durant le mois d'avril nous avons valorisé 82.94 tonne métriques de boue d'une siccité moyenne de 17.4%.   42.65 tonnes ont été envoyé chez Francois Rivet  au site Montbrun a Boucherville, 10,61 tonnes au 581 Côte Saint-Jean Saint-Roch sur Richelieu Champ 2  et 29.68 tonnes au Domaine Simard a St-Germain de Grantham. Nous avons disposé en enfouissement de 0.9m3 de déchets de dégrillage et 1.3 m3 de déchets de dessablage .  </t>
  </si>
  <si>
    <t xml:space="preserve">Nous avons disposé de 114.16 tonnes métriques d'une siccité de 17,01% en valorisation agricole chez Dominic Girard à Saint-Germain de Grantham . Nous avons disposée en enfouissement de 2m3 de déchets du dessableur et 0.6 m3 de déchets du dégrilleur sur le site de RCI .  </t>
  </si>
  <si>
    <t>Nous avons disposés de 108.78 tonnes métriques de boues en valorisation . La siccité moyenne est de 17.9 % et le site de valorisation agricole est le 568 RT 239 St-Germain de Grantham. Nous avons disposé en enfouissement de 3.2 M3  de déchets du dessableur  et de 1.2 m3 de déchets du dégrilleur en enfouissement au site de RCI Longueuil.</t>
  </si>
  <si>
    <t xml:space="preserve">Nous avons disposées de 84,32 tonnes métriques de boue en valorisation agricole chez Dominic Girard 568 route 239 St-Germain de Grantham . Notre siccité moyenne est de  17.55 %. Nous avons aussi disposée de 3m3 de dessablage et 1.1 m3 de déchets par le site de RCI Longueuil . </t>
  </si>
  <si>
    <t>Nous avons disposées des boues en valorisation agricole . Nous avons transporté 124.28 tonnes métriques Chez Dominic Girard au 568 Route 239 St-Germain de Grantham Nous avons obtenu une siccité moyenne de 16.5 % . De plus nous avons disposé 1.9 m3  de déchets de dessablage et 0.6 m3 de déchets de dégrillage chez Waste management à Longueuil.</t>
  </si>
  <si>
    <t xml:space="preserve">Nous avons disposé en valorisation agricole chez Dominique Gérard au 568 Route 239  St-Germain de Grantham de 79.01 tonnes métriques de boues déshydratées. Nous avons obtenu une siccité moyenne de 18.1 %   On a disposé en enfouissement de 2.0 m3 de déchets de dégrillage et 1.2 m3 de sable au site de RCI a Longueuil. </t>
  </si>
  <si>
    <t xml:space="preserve">Nous avons disposées de 78.43 tonnes métriques de boue d'une siccité moyenne de 17.5% en valorisation agricole, chez Dominique Girard 568 Route 239 St-Germain de Grantham._x000D_
Nous avons disposée de 0.6 M3 de déchets de dégrillage et 1.5 M3 de déchets de dessablage chez RCI a Longueuil.  </t>
  </si>
  <si>
    <t>Nous avons disposées de 112.03 M3 de boues en valorisation chez Dominic Girard au 568 Route 239 a St Germain de Grantham.     La siccité moyenne obtenue ce mois ci est de 17,3 % . Nous avons disposé en enfouissement de 1 M3 de déchets de dessableur et 1.2 M3 de déchets de dégrillage au site de RCI a Longueuil .</t>
  </si>
  <si>
    <t>Nous avons valorisé  97.09 tonnes métriques de boues déshydratées en valorisation agricole, d'une siccité moyenne de 17,96 %  au site de Dominic Girard au  568 Route 239 St-Germain de Grantham ._x000D_
Nous avons disposé de 1.2m3 de déchets de dessablage et 0.9 m3 de déchets de dégrillage au site de RCI  a Longueuil.</t>
  </si>
  <si>
    <t>Ouvrage municipal d'assainissement des eaux usées de Mirabel (Saint-Benoît)</t>
  </si>
  <si>
    <t xml:space="preserve">Vidange de 89,32 TMS dans la cellule 1 à une siccité moyenne de 25,7%._x000D_
Vidange de 23,48 TMS dans la cellule 2 à une siccité moyenne de 23.7%._x000D_
Travaux du 26/10/2022 au 01/11/2022 </t>
  </si>
  <si>
    <t>Disposition _x000D_
Daniel et Yves Lalande_x000D_
511, route du Long Sault_x000D_
Saint-André-d'Argenteuil_x000D_
J0V 1X0</t>
  </si>
  <si>
    <t>Valorisation DE 333.4 tm de boue transportée à  22.5% de siccité</t>
  </si>
  <si>
    <t>VALORISATION DE 419 TM DE BOUES TRANSPORTÉES À 20.3% DE SICCITÉ</t>
  </si>
  <si>
    <t>Valorisation de 440 tm de boues transportée à 21.5% de siccité</t>
  </si>
  <si>
    <t>Valorisation de 458.7 tm de boue transportée à 22.5% de siccité.</t>
  </si>
  <si>
    <t>Valorisation de 599 tm de boues transportées à 23.2 % de siccité</t>
  </si>
  <si>
    <t>Valorisation de 599 tm de boues transportées à 22.9 % de siccité</t>
  </si>
  <si>
    <t>Valorisation de 649.7 T.M. transportée à 24.6%</t>
  </si>
  <si>
    <t>590260Kg de boue à 25.5% de siccité et toute en valorisation</t>
  </si>
  <si>
    <t>642446kg de boue à 26.7% de siccité en moyenne transportée en valorisation</t>
  </si>
  <si>
    <t xml:space="preserve">680909 Kg de boues transportées  à 27.7% de siccité en moyenne en valorisation </t>
  </si>
  <si>
    <t>611723 Kg de boue à 26.6% de siccité en moyenne en valorisation</t>
  </si>
  <si>
    <t xml:space="preserve">490904Kg de boue à 23.9% de siccité en valorisation </t>
  </si>
  <si>
    <t>Vidange du bassin 3 par dragage du 11 au 28 novembre 2022.  476 TMS de boues soutirées.</t>
  </si>
  <si>
    <t>Disposition par les entreprises H.D.J.S Gascon LTÉE 1935, rue Lajoie, Lefaivre Ontario, K0B 1J0.  Pour la quantité totale de boues soutirées.</t>
  </si>
  <si>
    <t xml:space="preserve">Méthode de disposition : Transport des boues municipales sur les terres agricoles (avis de projet PAER); Lieu de disposition : Ferme Robert Raymond et Ferme Roger Raymond; Quantité de boues évacuées  en m³ : 986 m³ Siccité moyenne des boues : 24 %; Identification du bassin ou de la cellule : Lit de séchage 2-3 et 4._x000D_
Date de début et fin de la vidange : 14 septembre au 5 octobre 2020; méthode utilisée :  par pompage après enlèvement du surnageant_x000D_
</t>
  </si>
  <si>
    <t>Méthode de disposition : Transport des boues municipales sur les terres agricoles (avis de projet PAER); Lieu de disposition : Ferme Roger Raymond ; Quantité de boues évacuées en m³ : 60 m³ Siccité moyenne des boues : 31 % et Ferme Denis Jacques :  Quantité de boues évacuées en m³ : 224 m³ Siccité moyenne des boues : 31 % Identification du bassin ou de la cellule : Lit de séchage  4. Date de début et fin de la vidange : 14 septembre au 5 octobre 2020; méthode utilisée : par pompage après enlèvement du surnageant_x000D_
_x000D_
Note : La description doit minimalement comprendre les informations suivantes : méthode de disposition, lieu de disposition, quantité de boues évacuée en m³, siccité moyenne des boues évacuée en %, identification du bassin ou de la cellule, date de début et de fin de la vidange, méthode utilisée.</t>
  </si>
  <si>
    <t>Identification du bassin : Étang 3, Date de début et de fin de la vidange : 17 octobre 2022 au 16 novembre 2022, méthode utilisée : Par pompage (Vidange complète de l'étang 3) Quantité soutirée en m³ : 4 415 m³, Siccité moyenne des boues soutirées en % : 6.71 %_x000D_
Bris de pompe le 17 octobre à 13H30 jusqu'au  25 octobre 2022 (arrête de la vidange des boues.</t>
  </si>
  <si>
    <t>Identification du bassin : Étang 3, Date de début et de fin de la vidange : 17 octobre 2022 au 16 novembre 2022, méthode utilisée : Par pompage (Vidange complète de l'étang 3) Quantité soutirée en m³ : 4 415 m³, Siccité moyenne des boues soutirées en % : 6.71 % Bris de pompe le 17 octobre à 13H30 jusqu'au 25 octobre 2022 (arrête de la vidange des boues</t>
  </si>
  <si>
    <t>Enfouissement de 2205 tonnes métriques de cendres humides (siccité moyenne environ 65 %) au LET de la Ville de Montréal_x000D_
Valorisation de 59.6 tonnes métriques de granules de boues séchées (siccité moyenne environ 98%) en épandage agricole</t>
  </si>
  <si>
    <t>98 % (granules)</t>
  </si>
  <si>
    <t>Enfouissement de 3286 tonnes métriques de cendres humides (siccité moyenne environ 66 %) au LET de la Ville de Montréal</t>
  </si>
  <si>
    <t>Enfouissement de 4243 tonnes métriques de cendres humides (siccité moyenne environ 66 %) au LET de la Ville de Montréal</t>
  </si>
  <si>
    <t>Enfouissement de 4414 tonnes métriques de cendres humides (siccité moyenne environ 67 %) au LET de la Ville de Montréal_x000D_
Valorisation de 15.8 tonnes métriques de cendres humides (siccité moyenne environ 67%) en épandage agricole</t>
  </si>
  <si>
    <t xml:space="preserve">Enfouissement de 266 tonnes métriques de gâteau de boue déshydratée (siccité moyenne environ 31 %) au LET Enviro Connexion_x000D_
Valorisation de 802.19 tonnes métriques de cendres sèches en épandage agricole_x000D_
Enfouissement de 3644 tonnes métriques de cendres sèches au LET de la Ville de Montréal_x000D_
</t>
  </si>
  <si>
    <t>31 % (boues)</t>
  </si>
  <si>
    <t>Valorisation de 66 tonnes métriques de cendres exprimées en base sèche (c-à-d avec siccité de 100%) en épandage agricole_x000D_
Enfouissement de 3698 tonnes métriques de cendres exprimées en base sèche (c à d avec siccité de 100%) au LET de la Ville de Montréal</t>
  </si>
  <si>
    <t>Les cendres ont été considérées comme correspondant à 20 % des quantités de boues municipales acheminées à l'incinération et ayant une siccité de 66 %. Bien qu'une quantité de cendres ait été acheminée en valorisation agricole, les boues sont comptabilisées sous "Incinération".</t>
  </si>
  <si>
    <t>Enfouissement de 3353 tonnes métriques de cendres humides (siccité moyenne environ 66%) au LET de la Ville de Montréal_x000D_
Valorisation de 35.4 tonnes métriques de cendres humides (siccité moyenne environ 63%) en épandage agricole_x000D_
Valorisation de 55 tonnes métriques de granules de boues séchées (siccité moyenne environ 97%) en épandage agricole</t>
  </si>
  <si>
    <t>Valorisation de 86.7 tonnes métriques de granules de boues séchées (siccité moyenne environ 98%) en épandage agricole_x000D_
Enfouissement de 398.53 tonnes métriques de gâteau de boue déshydratée (siccité moyenne environ 27.8 %) au LET Enviro Connexion_x000D_
Valorisation de 1404 tonnes métriques de cendres (exprimées en base sèche) en épandage agricole_x000D_
Enfouissement de 942 tonnes métriques de cendres (exprimées en base sèche) au LET de la Ville de Montréal</t>
  </si>
  <si>
    <t>27,8 % (boues)
98 % (granules)</t>
  </si>
  <si>
    <t xml:space="preserve">Valorisation de 117.75 tonnes métriques de granules de boues séchées (siccité moyenne environ 97%) en épandage agricole_x000D_
Enfouissement de 687.7 tonnes métriques de gâteau de boue déshydratée (siccité moyenne environ 31 %) au LET Enviro Connexion_x000D_
Valorisation de 539.66 tonnes métriques de cendres exprimées en base sèche, en épandage agricole_x000D_
Enfouissement de 1797.86 tonnes métriques de cendres exprimées en base sèche au LET de la Ville de Montréal_x000D_
</t>
  </si>
  <si>
    <t>31 % (boues)
97 % (granules)</t>
  </si>
  <si>
    <t>Valorisation de 4359 tonnes métriques de cendres humides (siccité moyenne environ 68%) en épandage agricole</t>
  </si>
  <si>
    <t>Enfouissement de 1651 tonnes métriques de cendres humides au LET de la Ville de Montréal et la valorisation de 2474 TM de cendres humides en épandage agricole.</t>
  </si>
  <si>
    <t>3143,052 tonnes de cendres ont été enfouies au LET et 22.73 tonnes de Fertili Cendres ont été transportées en valorisation.</t>
  </si>
  <si>
    <t>Vidange de l'usine le 16 mars 2022 de 11 voyages de boues vers l'entreposage en fosse de la Ferme G.C.G Goyette SENC. Un total de 11 voyage de 36 TM ont été évacués ce qui équivaut à 396 mètre cubes</t>
  </si>
  <si>
    <t>Vidange d'environ 11 voyage de l'usine le 15 juin 2022, entreposage dans les structures de la Ferme G.C.G Goyette SENC et de la Ferme R. Bessette SENC. Un total d'environ 396 mètre cube ont été évacués</t>
  </si>
  <si>
    <t>Vidange de 11 voyage de boues le 6 octobre 2022 à la Ferme G. C. G. Goyette SENC pour un total d'environ 396 mètres cubes.</t>
  </si>
  <si>
    <t>Vidange de l'usine le 20 décembre 2022 de 396 mètres cube de boue à la ferme G.C.G Goyette</t>
  </si>
  <si>
    <t>106,9 TM de boues déshydratées par un filtre à bandes avec une siccité moyenne de 18,1 %, soit 19,39 TMS, valorisées par la firme Viridis à Mirabel.</t>
  </si>
  <si>
    <t>94,0 TM de boues déshydratées par un filtre à bandes avec une siccité moyenne de 19,1 %, soit 18,0 TMS, valorisées par la firme Viridis à Mirabel.</t>
  </si>
  <si>
    <t>62,3 TM de boues déshydratées par un filtre à bandes avec une siccité moyenne de 22,1 %, soit 13,8 TMS, valorisées par la firme Viridis à Mirabel.</t>
  </si>
  <si>
    <t>129,8 TM de boues déshydratées par un filtre à bandes avec une siccité moyenne de 16,1 %, soit 20,84 TMS, valorisées par la firme Viridis à Mirabel</t>
  </si>
  <si>
    <t>139,66 tonnes de boues déshydratées par un filtre à bande avec une siccité de 17,4 % soit de 24,30 TMS valorisé par la firme Viridis à Mirabel. (Ferme Ruisseau à Mirabel et Ferme L'Éclatière à S.E.N.C.)</t>
  </si>
  <si>
    <t>Il a eu 116,02 tonnes de boues déshydratées par un filtre à bande avec une siccité de 21,85 % soit   25,35 TMS valorisée par la firme Véridis à Mirabel</t>
  </si>
  <si>
    <t>Il a eu 129,74 tonnes de boues déshydratées par un filtre à bande avec une siccité de 17,72 % soit 22,67 TMS valorisée par la firme Véridis à Mirabel. (Disposé à Ferme Éclatière)</t>
  </si>
  <si>
    <t>Il a eu 96,2 tonnes de boues déshydratées par un filtre à bande avec une siccité de 18,3 % soit 17,35 TMS valorisée par la firme Véridis à Mirabel. (Disposé à Ferme Éclatière S.E.N.C. et Ferme du Ruisseau à Mirabel)</t>
  </si>
  <si>
    <t>Il a eu  105,48 tonnes de boues déshydratées par un filtre à bande avec une siccité de 17,96 % soit 18,94 TMS valorisée par la firme Véridis à Mirabel. (Ferme Perth inc. Champs 45 et Ferme du Ruisseau à Mirabel)</t>
  </si>
  <si>
    <t>il a eu 81,23 tonnes de boues déshydratées par un filtre à bande avec une siccité de 17,86 % soit 14,51 TMS valorisée par la firme Véridisl. ( Ferme du Ruisseau à Mirabel et ferme de l'Éclatière S.E.N.C.</t>
  </si>
  <si>
    <t>Ouvrage municipal d'assainissement des eaux usées de Nicolet</t>
  </si>
  <si>
    <t>Nicolet</t>
  </si>
  <si>
    <t>Vidange du bassin #1_x000D_
Date de début de la vidange: 10 juin 2022   Date de fin de la vidange: 21 juin 2022_x000D_
Méthode utilisée: Centrifugation avec polymère_x000D_
Quantité soutirée: 1034.57 TMS (Tonne Métrique Solide)_x000D_
Siccité moyenne des boues du bassin #1: 30.91%_x000D_
_x000D_
Vidange du bassin #2_x000D_
Date de début de la vidange: 22 juin 2022   Date de fin de la vidange: 3 juillet 2022_x000D_
Méthode utilisée: Centrifugation avec polymère_x000D_
Quantité soutirée: 603.99 TMS (Tonne Métrique Solide)_x000D_
Siccité moyenne des boues du bassin #2: 27.46%_x000D_
_x000D_
Vidange du bassin #4_x000D_
Date de début de la vidange: 4 juillet 2022   Date de fin de la vidange: 6 juillet 2022_x000D_
Méthode utilisée: Centrifugation avec polymère_x000D_
Quantité soutirée: 58.98 TMS (Tonne Métrique Solide)_x000D_
Siccité moyenne des boues du bassin #4: 14.06%_x000D_
_x000D_
Travaux effectués par la firme GFL (340, Avenue du Maréchal, Pintendre, QC, G6C 1T8)</t>
  </si>
  <si>
    <t>Méthode de disposition: Valorisation dans champs agricoles par la firme GFL
Boues des bassins #1, #2 et #4 de la ville de Nicolet
Méthode d'extraction: centrifugation avec polymère par la firme GFL
Lieux de disposition:
Ferme Lemage: St-Valère / Disposition du 10 juin 2022 au 6 juillet 2022
Quantité disposée: 1269.02 TMS / Siccité moyenne: 29.79%
Ferme Lemage: Ste-Gertrude / Disposition du 14 juin 2022 au 5 juillet 2022
Quantité disposée: 74.91 TMS / Siccité moyenne: 21.06%
Ferme JP-K7: St-Stanislas / Disposition du 20 juin 2022 au 6 juillet 2022
Quantité disposée: 196.98 TMS / Siccité moyenne: 28.36%
Ferme Lemage: St-Rosaire / Disposition du 19 juin 2022 au 5 juillet 2022
Quantité disposée: 131.64 TMS / Siccité moyenne: 25.03%
Ferme Lemage: St-Rosaire (Champ 388) / Disposition le 30 juin 2022
Quantité disposée: 24.98 TMS / Siccité moyenne: 27.25%</t>
  </si>
  <si>
    <t xml:space="preserve">La vidange a débuté le 2 mars et s'est terminé le 10 mars, toujours avec un camion vacuum et les boues ont été livrées au site de la régie inter-municipale de la région de l'amiante._x000D_
La quantité est de 176.24 tonnes et la siccité varie de 6.2 à 7.1 %. </t>
  </si>
  <si>
    <t>6,2 à 7,1 %</t>
  </si>
  <si>
    <t>Les boues ont été considérées comme étant liquides ; une densité de 1 tonne/m3 a été utilisée pour transposer le volume en tonnage. Bien qu'il soit indiqué que les boues aient été acheminées à la Régie intermunicipale de la région de Thetford, le mode de disposition n'est pas connu.</t>
  </si>
  <si>
    <t>Les boues ont été enlevées avec un camion vacuum et expédiées au site de la régie intermunicipale de la région de l'amiante. La date de début est le 13 juillet 2022 et la date de fin est le 19 juillet 2022. La siccité varie de 4.3 à 6.8 %. La quantité de boues est de 174.5 tonnes métriques.</t>
  </si>
  <si>
    <t>4,3 à 6,8 %</t>
  </si>
  <si>
    <t>La quantité de boues disposée est de 208.62 tonnes pour les 2 bassins et la méthode était par camion vaccum et elles ont été expédiées au site de la Régie intermunicipale de Thedford. La date de début est le 14 novembre 2022 et la fin de la vidange le 23 novembre 2022. La siccité moyenne est de 6  %</t>
  </si>
  <si>
    <t xml:space="preserve">par conteneur a Gaspé la quantité de boue évacuée pour les dates du 4 juillets 2022 au 28 juillet 2022 est 42,5 m3 et la siccité étais en moyenne de 15.5 % a les boue provenait des digesteur de l'usine de Percé la méthode pour faire des boues est un polymère qui est mélangé avec les boues est le tout passe sur un filtre a bande ensuite tombe dans une vise sans fin et après dans un conteneur </t>
  </si>
  <si>
    <t xml:space="preserve">les boues sont évacuée dans un conteneur , la quantité évacué de boue pour tout le mois d'aout est de 48 m3 et la siccité moyenne était de 15,7 % les 2 bassins qui ont été vidés sont les digesteurs 1 et 2 la méthode de vidange des boues sont une pompe qui amène les boues et elle se mélange avec un polymère et ensuite sur uns bande a ruban et par la suite tombe dans une vise sans fin et fini dans un conteneur .    </t>
  </si>
  <si>
    <t>les boues sont pompées et mélangées avec un polymère et passé sur un filtre a bande par la suite tombe dans conteneur et sont disposée dans un lieu spécifique a Gaspé . La quantité de boues transportées est 25 m3 et la siccité moyenne est de 15% , les boues viennent de 2 digesteurs dans l'usine de traitement le début du vidange des boues ont commencé le 1 /09/2022 jusqu'au 3o /09/2022  .</t>
  </si>
  <si>
    <t xml:space="preserve">les boues sont dans un conteneur et transportés a Gaspé dans un endroit spéciale pour les boues , la quantité de boues évacuées est 10 m3 , la siccité moyenne est de 13 % , les bassin qui ont été vidés sont le digesteur 1 et 2 , la date du début du vidange des boues est le 3/10/2022 et la fin le 19/10/2022 et la méthode utilisé est par mélange de polymère avec les boues et passer dans un filtre a bande et tombe dans une vise sans fin et tombe dans un conteneur  </t>
  </si>
  <si>
    <t xml:space="preserve">243,66 tonnes métriques à 15,5% de siccité, mode de déshydratation des boues par filtre à bandes et électro déshydratation </t>
  </si>
  <si>
    <t xml:space="preserve">Valorisation agricole, Les Fermes Lebec inc, les fosses DM Choquette, 152,2 TMH, 19.27 %, Pressoir rotatif. </t>
  </si>
  <si>
    <t>155.8 Tonnes de boues, traitées par pressoir rotatif.  Siccité moyenne de 21.3%.  Lieux de dispositions;  Fosse D.M. Choquette et Ferme R. Bessette S.E.N.C./Structure.</t>
  </si>
  <si>
    <t xml:space="preserve">123,9 tonnes métriques de boues à une siccité moyenne de 20,7% par pressoir rotatif Fournier envoyées à la Fosse DM Choquette pour revalorisation agricole. </t>
  </si>
  <si>
    <t xml:space="preserve">185.31 Tonnes de boues, traitées par pressoir rotatif.  Siccité moyenne de 20.6%.  boues disposées chez Fosse DM Choquette._x000D_
</t>
  </si>
  <si>
    <t>139.51 Tonnes de boues traitées par pressoir rotatif.  Siccité moyenne de 22.8%.   Disposées la fosse DM Choquette.</t>
  </si>
  <si>
    <t>Valorisation agricole chez DM Choquette #2, Les fermes Guay. 200.68 TMH A 17,5% de siccité par pressoir rotatif.</t>
  </si>
  <si>
    <t xml:space="preserve">valorisation agricole, Les ferme Lebec inc, DM choquette, 192,25 TBH, 17,4%, boue activée, pressoir rotatif. </t>
  </si>
  <si>
    <t>183.7 Tonnes de boues traitées par pressoir rotatif.  Siccité moyenne de 19.5%.  Disposition;  DM Choquette structure, Les fermes Lebec Inc.</t>
  </si>
  <si>
    <t xml:space="preserve">valorisation agricole, Verheagen, DM Choquette, Nicolas Guay, 172.19 TMH, 18.7%, boue activée, préssoir rotatif fournier. </t>
  </si>
  <si>
    <t>18,,7%</t>
  </si>
  <si>
    <t xml:space="preserve">170,29 tonnes de boues déshydratées par pressoir rotatif avec une siccité moyenne de 18% disposé par camion benne à la ferme Réal et Renée Ryan </t>
  </si>
  <si>
    <t>173.85 Tonnes de boues déshydratées par pressoir rotatif.  Disposées à la ferme Réal et Renée Ryan et la ferme R. Bessette.  Siccité moyenne de 17.4%.</t>
  </si>
  <si>
    <t>le seul bassin septique de la municipalité_x000D_
vidange effectuée le 13 mai 2022_x000D_
vidange effectuée par camion vacuum_x000D_
135 mètres cube ont été vidangé.</t>
  </si>
  <si>
    <t>13 mai 2022 vidange et disposition des boues au site de traitement de Lac Mégantic_x000D_
135 mètres cube par camion vacuum de sanitaire Denis Fortier</t>
  </si>
  <si>
    <t>le 20 septembre 2022_x000D_
vidange complète de la fosse septique municipal environ 135 mètres cubes par camion vacuum</t>
  </si>
  <si>
    <t>le 20 septembre 2022_x000D_
par camion vacuum environ 135 mètres cubes ont été soutirés de la fosse septique municipal et transporté au site de traitement de `Lac Mégantic</t>
  </si>
  <si>
    <t>Ouvrage municipal d'assainissement des eaux usées de Portneuf</t>
  </si>
  <si>
    <t>Début des travaux de vidange des étangs nos 3 et 1 le: 27 mai._x000D_
Travaux de pompage dans l'étang no.3._x000D_
Déshydratation mécanique._x000D_
Quantité soutirée: À venir._x000D_
Siccité moyenne: À venir.</t>
  </si>
  <si>
    <t xml:space="preserve">À partir du 30 mai les camions ont commencé à transporter les boues déshydratée vers les champs de cultivateurs._x000D_
27 mai: L'entrepreneur a rempli 2 bennes. Aucun transport. Bennes stationnées sur le site. Siccité moyenne: 25.42%. Tonnage: 74.24._x000D_
28 mai: L'entrepreneur a rempli 2 bennes. Aucun transport. Bennes stationnées sur le site. Siccité moyenne: 23.98%. Tonnage: 67.35._x000D_
29 mai: Congé._x000D_
30 mai: L'entrepreneur a rempli 4 bennes. Début transport vers terres agricoles. Siccité moyenne: 24.39%.  Tonnage: 133.44_x000D_
31 mai: L'entrepreneur a rempli 4 bennes. Transport vers terres agricoles. Siccité moyenne: 23.66%.    Tonnage: 119.32 </t>
  </si>
  <si>
    <t>Données comptabilisées dans le mois suivant (juin 2022).</t>
  </si>
  <si>
    <t xml:space="preserve">Notre projet de vidange de nos boues d'épuration des étangs Nos 1 et 3 a débuté le 27 mai 2022._x000D_
Pour le mois de juin voici la description des volumes de boues pompés._x000D_
Pour l'étang no.3:_x000D_
1 juin: 4 voyages de boues déshydratées, volume 132,82 tonnes à ± 24,50% de siccité. TMS final: 32,13 tonnes._x000D_
2 juin: 4 voyages de boues déshydratées, volume 126,83 tonnes à ± 23,25% de siccité. TMS final: 29,56 tonnes._x000D_
3 juin: 4 voyages de boues déshydratées, volume 132,33 tonnes à ± 24,50% de siccité. TMS final: 32,88 tonnes._x000D_
4 juin: 3 voyages de boues déshydratées, volume 98,80 tonnes à ± 24,33% de siccité. TMS final: 24,24 tonnes._x000D_
Fin de la vidange de l'étang no.3._x000D_
Vidange de l'étang no.1_x000D_
6 juin: 2 voyages de boues déshydratées, volume 65,55 tonnes à ± 28,50% de siccité. TMS final: 18,27 tonnes._x000D_
7 juin: 4 voyages de boues déshydratées, volume 132,18 tonnes à ± 28,25% de siccité. TMS final: 38,02 tonnes._x000D_
8 juin: 4 voyages de boues déshydratées, volume 145,77 tonnes à ± 28,00% de siccité. TMS final: 35,45 tonnes._x000D_
9 juin: 3 voyages de boues déshydratées, volume 104,69 tonnes à ± 24,66% de siccité. TMS final: 23,26 tonnes._x000D_
10 juin: 5 voyages de boues déshydratées, volume 157,74 tonnes à ± 27,20% de siccité. TMS final: 43,85 tonnes._x000D_
Fin des travaux de déshydratation de nos boues d'épuration._x000D_
Pendant les travaux de pompage et de déshydratation de nos boues d'épuration d'entrepreneur a dégrillé pour 1, 450 tonnes de déchets incluent ses propres déchets. </t>
  </si>
  <si>
    <t>La disposition des boues déshydratées fut réalisée entre le ± 27 mai au 10 juin de façon intermittente et selon la disponibilité des champs._x000D_
Initialement, 6 champs ont été sélectionnés pour l'épandage mécanisé de nos boues d'épuration._x000D_
Pendant cette période, il a plu beaucoup et certains champs étaient trop humide pour être utilisés._x000D_
Pendant nos travaux de gestion de nos boues d'épuration, 5 champs furent utilisés:_x000D_
- U76:         St-Ubalde rang Saint-Anne. ± 106,94 tonnes (transport vers champs: 27 et 28 mai 2022) Siccité moyenne: 24,26 %_x000D_
- C02-C03: Saint-Casimir Boul. de la montagne. ± 380,07 tonnes (transport vers champs: 30, 31 mai et 1,2,7 et 8 juin  2022) Siccité moyenne: 24,50 %_x000D_
- U71: St-Ubalde Route du Bureau. ± 69,51 tonnes (transport vers champs: 27 et 30 mai  2022) Siccité moyenne: 25,50 %_x000D_
- U78: St-Basile rang St-Joseph ± 0 tonnes Siccité moyenne: N/A %_x000D_
- U68: St-Ubalde Rang Saint-Achille. ± 462,30 tonnes (transport vers champs: 31 mai et 1,2,3,4,6 et7 juin 2022) Siccité: 25,28 %_x000D_
- U53: St-Ubalde Rang Saint-Achille ±  472,16 tonnes (transport vers champs: 3,7,8,9 et 10 juin 2022) Siccité: 27,25 %_x000D_
Donc:_x000D_
Au total, 1490 tonnes de boues traitées furent transportées dans 5 champs de la région._x000D_
En tonne sèche sera équivaut à ± 373,45 tonnes_x000D_
Déchets : 1,45 tonnes_x000D_
Grand total en TMS: 374,90 tonnes</t>
  </si>
  <si>
    <t>Étangs 2 et 1_x000D_
Date : 4 octobre au 23 octobre 2022_x000D_
Méthode : Dragage_x000D_
Quantité : Étang 2 : 156.53 TMS / Étang 1 : 113.45 TMS_x000D_
Siccité : Étang 2 : 24.32% / Étang 1 : 36.30 %</t>
  </si>
  <si>
    <t xml:space="preserve">Méthode : Valorisation agricole
Lieux de disposition : Ferme Chartrand et Fils S.E.N.C (Mirabel) + Daniel et Yves Lalande (Saint-André-d'Argenteuil) + Les Fermes Lortie inc. (St-Lin-Laurentides)
Quantité : Étang 2 : 156.53 TMS / Étang 1 : 113.45 TMS
Siccité : Étang 2 : 24.32% / Étang 1 : 36.30 %
Étangs 2 et 1
Date : 4 octobre au 23 octobre 2022
Méthode : Dragage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</si>
  <si>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38851 m3  _x000D_
Siccité moyenne : 3,82 %_x000D_
N.B. : Cette quantité comprend les boues des stations Est et Ouest combinées_x000D_
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</si>
  <si>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40126 m3  _x000D_
Siccité moyenne : 4.2 %_x000D_
N.B. : Cette quantité comprend les boues des stations Est et Ouest combinées_x000D_
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</si>
  <si>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45535 m3  _x000D_
Siccité moyenne : 4.71 %_x000D_
N.B. : Cette quantité comprend les boues des stations Est et Ouest combinées_x000D_
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</si>
  <si>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38920 m3  _x000D_
Siccité moyenne : 4.25 %_x000D_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</si>
  <si>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51108 m3  _x000D_
Siccité moyenne : 4.02 %_x000D_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</si>
  <si>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44359 m3  _x000D_
Siccité moyenne : 4.18 %_x000D_
N.B. : Cette quantité comprend les boues des stations Est et Ouest combinées_x000D_
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</si>
  <si>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41558 m3  _x000D_
Siccité moyenne : 4.49 %_x000D_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</si>
  <si>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34514 m3  _x000D_
Siccité moyenne : 5.13 %_x000D_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</si>
  <si>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38273 m3  _x000D_
Siccité moyenne : 4.5 %_x000D_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</si>
  <si>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39643 m3  _x000D_
Siccité moyenne : 4.7 %_x000D_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</si>
  <si>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39698 m3  _x000D_
Siccité moyenne : 4.33 %_x000D_
N.B. : Cette quantité comprend les boues des stations Est et Ouest combinées_x000D_
</t>
  </si>
  <si>
    <t>Boues pompées de lOuest pompées vers station Est épaissies puis pompées vers incinérateur pour déshydratation_x000D_
La disposition finale des cendres ou des boues déshydratés s'effectue au LEVQ de Saint-Joachim (50, route 138). Exceptionnellement du 26 au 30 décembre certain quantités des boues brutes sont pompées vers CBMO pour la déshydratation puis expédiées au site Bécancour par viridis et englobe. _x000D_
Quantité évacuée vers l'incinérateur : 44359 m3  _x000D_
Siccité moyenne : 4,18 %_x000D_
N.B. : Cette quantité comprend les boues des stations Est et Ouest combinées</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</si>
  <si>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38851 m3  _x000D_
Siccité moyenne : 3,82 %_x000D_
N.B. : Cette quantité comprend les boues des stations Est et Ouest combinées_x000D_
</t>
  </si>
  <si>
    <t>Les boues ont été comptabilisées sous "Ouvrage municipal d'assainissement des eaux usées de Québec (Est)".</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</si>
  <si>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40126 m3  _x000D_
Siccité moyenne : 4.2 %_x000D_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</si>
  <si>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45535 m3  _x000D_
Siccité moyenne : 4.71 %_x000D_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</si>
  <si>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38920 m3  _x000D_
Siccité moyenne : 4.25 %_x000D_
N.B. : Cette quantité comprend les boues des stations Est et Ouest combinées_x000D_
_x000D_
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</si>
  <si>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44359 m3  _x000D_
Siccité moyenne : 4.18 %_x000D_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</si>
  <si>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39922 m3  _x000D_
Siccité moyenne : 4.5 %_x000D_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</si>
  <si>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39698 m3  _x000D_
Siccité moyenne : 4.33 %_x000D_
N.B. : Cette quantité comprend les boues des stations Est et Ouest combinées_x000D_
_x000D_
</t>
  </si>
  <si>
    <t xml:space="preserve">Boues pompées de lOuest pompées vers station Est épaissies puis pompées vers incinérateur pour déshydratation_x000D_
La disposition finale des cendres ou des boues déshydratés s'effectue au LEVQ de Saint-Joachim (50, route 138). Exceptionnellement du 26 au 30 décembre certain quantités des boues brutes sont pompées vers CBMO pour la déshydratation puis expédiées au site Bécancour par viridis et englobe. _x000D_
Quantité évacuée vers l'incinérateur : 91450 m3  _x000D_
Siccité moyenne : 0,8 %_x000D_
N.B. : Cette quantité comprend les boues des stations Est et Ouest combinées_x000D_
</t>
  </si>
  <si>
    <t>Début de vidange de boues le 30 mai 2022, bassin 4, méthode de dragage avec déshydratation par centrifugeuse. Quantité pour le mois de mai est de 4,58 TMS avec une siccité de 17,2%</t>
  </si>
  <si>
    <t>Méthode recyclage de MRF biosolides muncipaux, lieux Ferme JML ( 2275 chemin Comtois, Terrebonne), siccité 17,2 %</t>
  </si>
  <si>
    <t>Continuité de vidange de boues le , bassin 4, méthode de dragage avec déshydratation par centrifugeuse. Quantité pour le mois de juin est de 103.25 TMS avec une siccité moyenne de 20.5%._x000D_
bassin 3, méthode de dragage avec déshydratation par centrifugeuse. Quantité pour le mois de juin est de 65.75 TMS avec une siccité moyenne de 21.9%._x000D_
bassin 2, méthode de dragage avec déshydratation par centrifugeuse. Quantité pour le mois de juin est de 18.83 TMS avec une siccité moyenne de 23.7%._x000D_
_x000D_
Pour un total de 192.8 TMS</t>
  </si>
  <si>
    <t>Méthode recyclage de MRF biosolides muncipaux, lieux Ferme JML ( 2275 chemin Comtois, Terrebonne), siccité moyenne 18.9 %_x000D_
Méthode recyclage de MRF biosolides muncipaux, lieux Ferme Jacques et Sylvain Laframboise ( 10900, Côtés des Anges), siccité 20.9 %_x000D_
Méthode recyclage de MRF biosolides muncipaux, lieux Christian Therrien et Carole Viau ( 18091 Côte St-Pierre), siccité 22.1 %</t>
  </si>
  <si>
    <t>Valorisation agricole / JMV Environnement / 356 tonnes métriques évacuées / Siccité moyenne de 30,7%</t>
  </si>
  <si>
    <t>VALORISATION AGRICOLE / JMV ENVIRONNEMENT / 336,1 TONNES MÉTRIQUES DE BIOSOLIDES ÉVACUÉES / SICCITÉ MOYENNE DE 29,22%</t>
  </si>
  <si>
    <t>Valorisation agricole / JMV Environnement / 494,9 tonnes métriques évacuées / Siccité moyenne de 33,57%</t>
  </si>
  <si>
    <t>VALORISATION AGRICOLE / JMV ENVIRONNEMENT / 530,5 TONNES MÉTRIQUES ÉVACUÉES / SICCITÉ MOYENNE DE 36,6 %</t>
  </si>
  <si>
    <t>VALORISATION AGRICOLE / JMV ENVIRONNEMENT / 436,1 TONNES MÉTRIQUES ÉVACUÉES / SICCITÉ MOYENNE DE 29,16%</t>
  </si>
  <si>
    <t>VALORISATION AGRICOLE / JMV ENVIRONNEMENT / 457,9 TONNES MÉTRIQUES ÉVACUÉES / SICCITÉ MOYENNE DE 28,3 %</t>
  </si>
  <si>
    <t>VALORISATION AGRICOLE / JMV ENVIRONNEMENT / 576 TONNES MÉTRIQUES DE BIOSOLIDES ÉVACUÉES / SICCITÉ MOYENNE DES BIOSOLIDES DE 30,6%</t>
  </si>
  <si>
    <t>VALORISATION AGRICOLE / JMV ENVIRONNEMENT / 499,7 TONNES MÉTRIQUES DE BIOSOLIDES ÉVACUÉES / SICCITÉ MOYENNE DE 35,09%</t>
  </si>
  <si>
    <t>VALORISATION AGRICOLE / JMV ENVIRONNEMENT / 406 TONNES MÉTRIQUES ÉVACUÉES / SICCITÉ MOYENNE DE 36,85%</t>
  </si>
  <si>
    <t>VALORISATION AGRICOLE / JMV ENVIRONNEMENT / 424,8 TONNES MÉTRIQUES ÉVACUÉES / SICCITÉ MOYENNE DE 37,86%</t>
  </si>
  <si>
    <t>VALORISATION AGRICOLE / JMV ENVIRONNEMENT / 355,5 TONNES MÉTRIQUES DE BISOLIDES ÉVACUÉS / SICCITÉ MOYENNE DE 35,8%</t>
  </si>
  <si>
    <t>VALORISATION AGRICOLE / JMV ENVIRONNEMENT / 353,6 TONNES MÉTRIQUES DE BIOSOLIDES ÉVACUÉES / SICCITÉ MOYENNE DE 36,14%</t>
  </si>
  <si>
    <t>Disposition par valorisation agricole, transport semaine 26 sept, Quantité évacuée : 860 tonnes humides. Siccité moyenne des boues : 38%_x000D_
Boues provenant des étangs 2A et 2B, vidange réalisée du 11 nov au 10 déc 2019 et du 23 avril au 6 mai 2020 par pompage et déshydratation par centrifugeuse.</t>
  </si>
  <si>
    <t>Le 7 novembre 2022, nous avons pompé 45 m3 d'eaux usées (composé principalement de boues décantées) de la fosse septique.  Ce 45 m3 d'eau a été disposé à même notre station d'épuration de type membranaire à Rivière-Beaudette pour traitement ultérieur.  La siccité moyenne était d'environ 3%.</t>
  </si>
  <si>
    <t>Ce 45 m3 d'eau a été disposé à même notre station d'épuration de type membranaire à Rivière-Beaudette pour traitement ultérieur.  La siccité moyenne était d'environ 3%.</t>
  </si>
  <si>
    <t>Aucune boue comptabilisée puisqu'elles ont été acheminées vers un autre ouvrage municipal d'assainissement des eaux usées.</t>
  </si>
  <si>
    <t xml:space="preserve">Épandage, Ferme Srdri, 105 chemin du sud de la rivière. Rivière-Ouelle. 40 m³. Siccité 67.1%_x000D_
</t>
  </si>
  <si>
    <t>Nous avons procédé à la vidange des boues de l'étang #2 du 13 au 16 août 2022 (8015.46 M3 avec une siccité moyenne de 2.92)  et  l'étang #3 du 17 au 21 août 2022 (7952.75 M3 avec une siccité moyenne de 3.5) par pompage avec pompe à lisier.</t>
  </si>
  <si>
    <t xml:space="preserve">Les épandages se sont déroulés
avec succès et avec la satisfaction des producteurs receveurs. 
La vidange par pompe à lisier de létang 2 à
durée 4 jours (13 au 16 août 2022 pour 8015.46 M3 à 2.92 de siccité moyenne) et celle de létang 3 à durée 5 jours (17 au 21 août
2022 pour 7952.75 M3 à 3.5 de siccité moyenne).
L'épandage a été répartie chez 4 receveurs, soit : Daniel Fournier (1393.01 M3), Luc Morin (6433.44 M3), Gaston et Gilles Pelletier S.E.N.C (6930.49 M3) et Lawrence Girard (1211.27 M3)
</t>
  </si>
  <si>
    <t>Ouvrage municipal d'assainissement des eaux usées de Rouyn-Noranda</t>
  </si>
  <si>
    <t xml:space="preserve">Données finales en cours de préparation. Une demande de réouverture du rapport de septembre sera envoyée en mi-décembre. </t>
  </si>
  <si>
    <t>Données comptabilisées dans le mois de novembre 2022.</t>
  </si>
  <si>
    <t>Vidange des bous de l'étang 1 en cours durant l'intégralité du mois d'octobre. Nous sommes en attente des résultats finaux des analyses des boues vidangées.</t>
  </si>
  <si>
    <t xml:space="preserve">Sommaire de la vidange des boues : _x000D_
_x000D_
La vidange des boues a été réalisée dans létang 1 A et 1 B de Rouyn-Noranda. La vidange a débutée le 25 septembre 2022 et sest terminée le 5 novembre 2022. Soutirage par dragage des boues. Déshydratation par centrifugation (49% des boues) et par géotube (51% des boues)_x000D_
_x000D_
ÉTANG 1A_x000D_
Total des boues solides soutirées par centrifugation : 918,17 tms_x000D_
Total des boues solides soutirées et stockées dans les géotubes : 990,74 tms_x000D_
Total : 1 908,91 tms_x000D_
_x000D_
ÉTANG 1B_x000D_
Total des boues solides soutirées par centrifugation : 241,34 tms_x000D_
Total des boues solides soutirées et stockées dans les géotubes : 212,91 tms_x000D_
Total : 454,25 tms_x000D_
_x000D_
TOTAL_x000D_
Total des boues solides soutirées par centrifugation : 1 159,52 tms_x000D_
Total des boues solides soutirées et stockées dans les géotubes : 1 203,65 tms_x000D_
Total : 2 363,17 tms _x000D_
Siccité moyenne après centrifugation : 34,05%_x000D_
Siccité moyenne après géotubes : 20% (estimé  temporaire)_x000D_
_x000D_
_x000D_
</t>
  </si>
  <si>
    <t xml:space="preserve">Sommaire de la disposition des boues : _x000D_
_x000D_
Méthode de disposition; Transport par camion semi-remorque. Dépôt sur le site. Prise en charge par lexploitant du site. _x000D_
Lieu de disposition; _x000D_
1 ) Multitech environnement (compostage pour recouvrement final des cellules) _x000D_
2 ) Un parc à résidu minier de Glencore  étude expérimentale (Site Quémont 1) - Végétalisation_x000D_
La quantité de boues évacuée en tms; _x000D_
1) Quantité total des boues valorisées chez Multitech Environnement : 658,66 tms _x000D_
2) Quantité total des boues valorisées sur le site de Glencore : 500,85 tms_x000D_
La siccité moyenne des boues évacuées en pourcentage (%);  Siccité moyenne des boues évacuées : 34,05 %_x000D_
_x000D_
</t>
  </si>
  <si>
    <t>Le 22/06/2022, nous avons vidé la fosse septique à l'aide d'un camion écureur. Le début et la fin de la vidange ont été effectués le même jour. Nous avons vidangé 6,099 m3 de boue à une siccité moyenne de 2,0 %.</t>
  </si>
  <si>
    <t>Le 22/06/2022, nous avons vidangé 6.099 m3 de boue à une siccité moyenne de 2,0 % à laide dun camion écureur.  Le début et la fin de la vidange ont été effectués le même jour. Les boues ont été disposés dans le bassin 1 de la STEP de Rouyn-Noranda.</t>
  </si>
  <si>
    <t>Aucune boue comptabilisée puisqu'elles ont été disposées dans l'étang 1.</t>
  </si>
  <si>
    <t>Le 9/09/2022 , nous avons vidé la fosse septique à l'aide d'un camion écureur. Le début et la fin de la vidange ont été effectués le même jour. Nous avons vidangé 6,146 m3 de boue à une siccité moyenne de 2,8 %._x000D_
Le 9/09/2022 , nous avons vidé le décanteur primaire à l'aide d'un camion écureur. Le début et la fin de la vidange ont été effectués le même jour. Nous avons vidangé 11,968 m3 de boue à une siccité moyenne de 7,1 %.</t>
  </si>
  <si>
    <t>2,8 et 7,1%</t>
  </si>
  <si>
    <t>Le 16 décembre 2022, nous avons vidé la fosse septique à l'aide d'un camion écureur. Le début et la fin de la vidange ont été effectués le même jour. Nous avons vidangé 6,075 m3 de boue à une siccité moyenne de 1,7 %</t>
  </si>
  <si>
    <t>Compostage ). Lieu Sanidro_x000D_
Quantité: 1077.58 T.M. et siccité de 14.6 %</t>
  </si>
  <si>
    <t>Le tonnage a été comptabilisé sous "Mode de recyclage non précisé" puisqu'à notre connaissance, Groupe Sanidro ne possède pas de site de compostage.</t>
  </si>
  <si>
    <t>compostage chez sanidro_x000D_
_x000D_
1047 T M  16% siccité</t>
  </si>
  <si>
    <t>1203 t.m, 17.8 % siccité, compostage chez sanidro</t>
  </si>
  <si>
    <t>741 t.m, 18.7 % siccité, compostage chez Sanidro</t>
  </si>
  <si>
    <t xml:space="preserve">Compostage et valorisation agricole (agriculteur). Lieu Sanidro et champs agricole. _x000D_
Quantité: 1251.95 T.M. et siccité de 16.8 %_x000D_
</t>
  </si>
  <si>
    <t xml:space="preserve">Compostage et valorisation agricole (agriculteur). Lieu Sanidro et champs agricole. _x000D_
Quantité: 1020.36 T.M. et siccité de 16.4 %_x000D_
</t>
  </si>
  <si>
    <t xml:space="preserve">Compostage et valorisation agricole (agriculteur). Lieu Sanidro et champs agricole. _x000D_
Quantité: 1032.7 T.M. et siccité de 15.8%_x000D_
</t>
  </si>
  <si>
    <t>Méthode: Compostage et valorisation agricole (agriculteur). Lieu Sanidro et champs agricole. _x000D_
Quantité: 1133 T.M. et siccité de 14..8</t>
  </si>
  <si>
    <t xml:space="preserve">Compostage et valorisation agricole (agriculteur). Lieu Sanidro et champs agricole. _x000D_
Quantité: 1330 T.M. et siccité de 15.3 %_x000D_
</t>
  </si>
  <si>
    <t xml:space="preserve">Méthode: Compostage et valorisation agricole (agriculteur). Lieu Sanidro et champs agricole. _x000D_
Quantité: 1101.6 T.M. et siccité de 14.6 %_x000D_
</t>
  </si>
  <si>
    <t xml:space="preserve">: Compostage et valorisation agricole (agriculteur). Lieu Sanidro et champs agricole. _x000D_
Quantité: 796.48 T.M. et siccité de 14.8%_x000D_
</t>
  </si>
  <si>
    <t xml:space="preserve">: Compostage et valorisation agricole (agriculteur). Lieu Sanidro et champs agricole. _x000D_
Quantité: 796.48 T.M. et siccité de 15.5%_x000D_
</t>
  </si>
  <si>
    <t>Les boues sont acheminées par voyage (N=70) pour l'enfouissement vers Sanidro. Le volume du mois est 895m³ pour une siccité de 14.54 % traité du lundi au vendredi par trois filtres à bande, deux Degrémont (à air) et un Mabarex (hydraulique).</t>
  </si>
  <si>
    <t>Le tonnage acheminé à Sanidro a été comptabilisé sous "Mode de recyclage non précisé" puisqu'à notre connaissance, toutes les boues de Saguenay sont recyclées. Les boues ont été considérées comme ayant une densité de 0,8 tonne/m3 pour transposer le volume en tonnage.</t>
  </si>
  <si>
    <t>Les boues sont acheminées par voyage (N=74) pour l'enfouissement vers Sanidro. Le volume du mois est de 845m³ pour une siccité de 14.24 % traité du lundi au vendredi par trois filtres à bande, deux Degrémont (à air) et un Mabarex (hydraulique).</t>
  </si>
  <si>
    <t>Les boues sont acheminées par voyage (N=92) pour l'enfouissement vers Sanidro. Le volume du mois est de 1080 m³ pour une siccité moyenne de 14.41 % traité du lundi au vendredi par trois filtres à bande, deux Degrémont (à air) et un Mabarex (hydraulique).</t>
  </si>
  <si>
    <t>Les boues sont acheminées par voyage (N=92) pour l'enfouissement vers Sanidro. Le volume du mois est de 760.14m³ pour une siccité moyenne de 14.41 % traité du lundi au vendredi par trois filtres à bande, deux Degrémont (à air) et un Mabarex (hydraulique).</t>
  </si>
  <si>
    <t>Les boues sont acheminées par voyage (N=92) pour l'enfouissement vers Sanidro. Le volume du mois est de 629 m³ pour une siccité moyenne de 16.44 % traité du lundi au vendredi par trois filtres à bande, deux Degrémont (à air) et un Mabarex (hydraulique).</t>
  </si>
  <si>
    <t>Les boues sont acheminées par voyage (N=54 ) vers la valorisation agricole et sanidro ,volume du mois est 703 m³ ,dune siccité de 15.8 % traitées du lundi au vendredi par trois F A B ,deux dégrémont (à air) et un mabarex (hydraulique) .</t>
  </si>
  <si>
    <t>Les boues sont acheminer par voyage (59) vers Valorisation agricole et gazon savard ,volume du mois est 777 m³ ,dune siccité de 15.47 % traiter du lundi au vendredi par trois F A B ,deux dégrémont (à air) et un mabarex (hydraulique) .</t>
  </si>
  <si>
    <t>Les boues ont été considérées comme ayant une densité de 0,8 tonne/m3 pour transposer le volume en tonnage.
En raison du manque de précision, le tonnage a été réparti également entre "Épandage agricole" et "Compostage".</t>
  </si>
  <si>
    <t xml:space="preserve">_x000D_
Les boues sont acheminer par voyage (N=58 ) vers Valorisation agricole et gazon savard ,volume du mois est 770 m³ ,dune siccité de 15.05 % traiter du lundi au vendredi par trois F A B ,deux dégrémont (à air) et un mabarex (hydraulique) ._x000D_
</t>
  </si>
  <si>
    <t>Les boues sont acheminées par voyage (N=39 ) vers Valorisation agricole et Sanidro ,volume du mois est 546 m³ ,dune siccité de 14.71 % traiter du lundi au vendredi par trois F A B ,deux dégrémont (à air) et un mabarex (hydraulique) .</t>
  </si>
  <si>
    <t>Les boues sont acheminées par voyage (N=57 ) chez Sanidro ,volume du mois est 624 m³ ,dune siccité de 14.04 % traiter du lundi au vendredi par trois F A B ,deux dégrémont (à air) et un mabarex (hydraulique) .</t>
  </si>
  <si>
    <t>Les boues sont acheminées par voyage (N=62 ) chez Sanidro ,le volume du mois est de 846.41 m³. La siccité est de 13.8 % traiter du lundi au vendredi par trois F A B ,deux dégrémont (à air) et un mabarex (hydraulique).</t>
  </si>
  <si>
    <t>Les boues sont acheminées par voyage (N=49 ) chez Sanidro ,le volume du mois est de 661.29 m³. La siccité est de 14.31 % traiter du lundi au vendredi par trois F A B ,deux dégrémont (à air) et un mabarex (hydraulique)</t>
  </si>
  <si>
    <t>Les boues sont déshydratées par filtre à bandes du lundi au vendredi et transportées par camion benne de 14 M3 soit en valorisation ou au compostage. La quantité de boues évacuées pour janvier est de 89 M3 à une siccité moyenne de 14,8%</t>
  </si>
  <si>
    <t>Les boues sont déshydratées par filtre à bandes du lundi au vendredi et transportées par camion benne de 14 M3 soit en valorisation ou au compostage. La quantité de boues évacuées pour janvier est de 212 M3 à une siccité moyenne de 16.7%.</t>
  </si>
  <si>
    <t>Les boues sont déshydratées par filtre à bandes du lundi au vendredi et transportées par camion benne de 14 M3 soit en valorisation ou au compostage. La quantité de boues évacuées ce mois-ci est de 197 M3 à une siccité moyenne de 15.7%.</t>
  </si>
  <si>
    <t>Les boues sont déshydratées par un filtre à bandes du lundi au vendredi et transporté par camion benne de 14 M3_x000D_
La quantité totale de boue pour avril est de 188.5 M3 à une siccité moyenne de 16.7%</t>
  </si>
  <si>
    <t>Les boues sont déshydratées par filtre à bandes du lundi au vendredi et transportées par camion benne de 14 M3 soit en valorisation ou au compostage. La quantité de boues évacuées ce mois-ci est de 186 M3 à une siccité moyenne de 17.3%.</t>
  </si>
  <si>
    <t>Les boues sont déshydratées par filtre à bandes du lundi au vendredi et transportées par camion benne de 14 M3 soit en valorisation ou au compostage. La quantité de boues évacuées ce mois-ci est de 283 M3 à une siccité moyenne de 15%.</t>
  </si>
  <si>
    <t>Les boues sont déshydratées par filtre à bandes du lundi au vendredi et transportées par camion benne de 14 M3 soit en valorisation ou au compostage. La quantité de boues évacuées ce mois-ci est de 182 M3 à une siccité moyenne de 16,1%.</t>
  </si>
  <si>
    <t>Les boues sont déshydratées par filtre à bandes du lundi au vendredi et transportées par camion benne de 14 M3 soit en valorisation ou au compostage. La quantité de boues évacuées ce mois-ci est de 251 M3 à une siccité moyenne de 18,5%.</t>
  </si>
  <si>
    <t>Les boues sont déshydratées par filtre à bandes du lundi au vendredi et transportées par camion benne de 14 M3 soit en valorisation ou au compostage. La quantité de boues évacuées ce mois-ci est de 192 M3 à une siccité moyenne de 17,7%.</t>
  </si>
  <si>
    <t>Les boues sont déshydratées du lundi au vendredi par un filtre à bande et transportées par camion benne de 14 M3_x000D_
La quantité de boue évacuée pour octobre est de 152M3 à une siccité moyenne de 17.3%</t>
  </si>
  <si>
    <t>Les boues sont déshydratées du lundi au vendredi par un filtre à bande et transportées par camion benne de 14 M3_x000D_
La quantité de boue évacuée pour novembre est de 215M3 à une siccité moyenne de 15.6%</t>
  </si>
  <si>
    <t>Les boues sont déshydratées du lundi au vendredi par un filtre à bande et les boues sont transportées par camion benne de 14 M3_x000D_
La quantité total de boues déshydratées pour décembre est de 184 M3 à une siccité moyenne de 15.1%</t>
  </si>
  <si>
    <t>Ouvrage municipal d'assainissement des eaux usées de Saint-Adolphe-d'Howard</t>
  </si>
  <si>
    <t>Saint-Adolphe-d'Howard</t>
  </si>
  <si>
    <t>2022-10-15 au 2022-10-22 Pompage et déshydratation mécanisée par centrifugeuse:_x000D_
#1 138.77 m3 à 26.82% _x000D_
#2 421.14 m3 à 24.42%</t>
  </si>
  <si>
    <t>Épandage pour valorisation agricole 511,route du Long Sault, St-André d'Argenteuil ou 18905, rue Victor Mirabel
#1 2022-10-22 au 2022-10-24 138.77 m3 à 26.82%
#2 2022-10-15 au 2022-1022 421.14m3 à 24.42%
Déshydratation par centrifuge</t>
  </si>
  <si>
    <t>78830 kg disposée chez Simetech Environnement  avec une siccité moyenne de 12.1 %</t>
  </si>
  <si>
    <t>61940 kg de boues chez Simetech Environnement avec une siccité de 12 %</t>
  </si>
  <si>
    <t>70560 kg disposée chez Simetech Environnement avec une siccité de 11.2 %</t>
  </si>
  <si>
    <t>63510 kg disposée chez Simetech Environnement inc. avec une siccité de 11.34%</t>
  </si>
  <si>
    <t>78900 kg disposée chez Simetech environnement avec une siccité de 9.94%</t>
  </si>
  <si>
    <t>96110 kg disposée chez Simetech environnement avec une siccité moyenne 9.73%</t>
  </si>
  <si>
    <t>76170 kg de boues disposée chez Simetech Environnement avec une siccité de 11.02 %</t>
  </si>
  <si>
    <t>46600 kg disposée chez Simetech Environnement avec une siccité de 11.18 %</t>
  </si>
  <si>
    <t>62240 kg de boues disposée par Simetech Environnement inc. avec une siccité moyenne de 10.05%</t>
  </si>
  <si>
    <t>60470 kg disposée chez Simetech Environnement avec une siccité moyenne de 12.2 %</t>
  </si>
  <si>
    <t>59740 kg de boues disposée chez Simetech Environnement inc. avec une siccité moyenne de 12.7%</t>
  </si>
  <si>
    <t>61050 kg de boues disposée chez Simetech Environnement inc. avec une siccité moyenne de 13.57%</t>
  </si>
  <si>
    <t>Ouvrage municipal d'assainissement des eaux usées de Saint-Bernard</t>
  </si>
  <si>
    <t>Saint-Bernard</t>
  </si>
  <si>
    <t>Moyen planifié pour remettre l'usine en bon fonctionnementl._x000D_
Voir avis au ministre 15490_x000D_
Débordement dans la rivière des Îles Brûlées</t>
  </si>
  <si>
    <t xml:space="preserve">Moyen planifié pour remettre l'usine en bon fonctionnementl. Voir avis au ministre _x000D_
</t>
  </si>
  <si>
    <t>11.36 m3 de boue évacuées</t>
  </si>
  <si>
    <t>En raison du manque de précision, la quantité saisie correspond au volume déclaré par l'exploitant et les quantités disposées ont été saisies sous "Mode de disposition non précisé".</t>
  </si>
  <si>
    <t>3000 gallons de boue évacué par municipalité.</t>
  </si>
  <si>
    <t>En raison du manque de précision, la quantité saisie correspond au volume déclaré par l'exploitant (gallons transposés en m3) et les quantités disposées ont été saisies sous "Mode de disposition non précisé".</t>
  </si>
  <si>
    <t>3000 gallons de boue evacué</t>
  </si>
  <si>
    <t>3000 gallons evacué par Enviro5</t>
  </si>
  <si>
    <t>disposition par enviro5</t>
  </si>
  <si>
    <t>Pompage de 3 000 gallons de boues par Enviro5.</t>
  </si>
  <si>
    <t>Disposition des boues par Enviro5.</t>
  </si>
  <si>
    <t>Pompage de 3 000 gallons de boues par Vacuum Drummond.</t>
  </si>
  <si>
    <t>Disposition des boues par Vacuum Drummond.</t>
  </si>
  <si>
    <t>Ouvrage municipal d'assainissement des eaux usées de Saint-Bonaventure</t>
  </si>
  <si>
    <t>Saint-Bonaventure</t>
  </si>
  <si>
    <t>Cellule no. 4_x000D_
Date de début:  1er novembre_x000D_
Date de fin: 3 novembre_x000D_
Méthode utilisée: Pompage dirigé_x000D_
Quantité soutirée: 900.62 m3_x000D_
Siccité moyenne: 2.72%</t>
  </si>
  <si>
    <t>Méthode de disposition: Par citerne et entreposage dans une fosse_x000D_
Lieu de disposition: Fosses Vaillancourt (2) et Fosse Janayo_x000D_
Quantité de boues évacuée: 900.62 m3_x000D_
Siccité moyenne: 2.72%_x000D_
Cellule no.4_x000D_
Date de début:  1er novembre_x000D_
Date de fin: 3 novembre_x000D_
Méthode utilisée: Pompage dirigé</t>
  </si>
  <si>
    <t>Pompage des boues liquides dans des camions citernes, disposées directement au champs (2-3% de siccité). 332 m3 le 13 mai 2022</t>
  </si>
  <si>
    <t>Épandage des boues liquides directement au champs le 31 octobre 2022. Siccité moyenne de 2 à 3%._x000D_
635m3 pompés</t>
  </si>
  <si>
    <t xml:space="preserve">45 lts_x000D_
</t>
  </si>
  <si>
    <t>40 lts</t>
  </si>
  <si>
    <t xml:space="preserve">40L </t>
  </si>
  <si>
    <t xml:space="preserve">45litres </t>
  </si>
  <si>
    <t>55litres</t>
  </si>
  <si>
    <t xml:space="preserve">45 litre </t>
  </si>
  <si>
    <t xml:space="preserve">40 litres </t>
  </si>
  <si>
    <t>Volume de boue vidangé:_x000D_
 siccité: 3.6%</t>
  </si>
  <si>
    <t>Usine d'épuration de Cowansville_x000D_
Quantité:7600gallons</t>
  </si>
  <si>
    <t>Disposition de boues prise en compte sous "Ouvrage municipal d'assainissement des eaux usées de Cowansville".</t>
  </si>
  <si>
    <t xml:space="preserve">06 Avril pendant 3 h 30 : Vidange de 103 m3 de boues du bassin de stockage vers le lit de séchages à l'aide des pompes d'affluent de la station. Siccité n/d. </t>
  </si>
  <si>
    <t xml:space="preserve">22 juin pendant 4 heure : Vidange de 98 m3 de boues du bassin de stockage vers le lit de séchages à l'aide des pompes d'affluent de la station. Siccité n/d. </t>
  </si>
  <si>
    <t>Valorisation agricole, 745 rue St-Louis, St-Cyrille de Wendover, 25,62 tonnes métriques, _x000D_
siccité moyenne de 19,8% (boue biologique et septique), _x000D_
pressoir rotatif Fournier, 1er jan. au 31 jan. 2021, par camion dompeur</t>
  </si>
  <si>
    <t>Valorisation agricole, 745 rue St-Louis, St-Cyrille de Wendover, 31,23 tonnes métriques, _x000D_
siccité moyenne de 20,6% (boue biologique et septique), _x000D_
pressoir rotatif Fournier, 1er fév. au 28 fév. 2022, par camion dompeur.</t>
  </si>
  <si>
    <t>Valorisation agricole, 745 rue St-Louis, St-Cyrille de Wendover, 30,92 tonnes métriques, _x000D_
siccité moyenne de 21,8% (boue biologique et septique), _x000D_
pressoir rotatif Fournier, 1er mars au 31 mars 2022, par camion dompeur.</t>
  </si>
  <si>
    <t>Valorisation agricole, 745 rue St-Louis, St-Cyrille de Wendover,12.94 tonnes métriques, _x000D_
siccité moyenne de 26.6% (boue biologique et septique), _x000D_
pressoir rotatif Fournier, 1er avril au 30 avril 2022, par camion dompeur.</t>
  </si>
  <si>
    <t>Valorisation agricole, 745 rue St-Louis, St-Cyrille de Wendover, 89,71 tonnes métriques, _x000D_
siccité moyenne de 25,0% (boue biologique et septique), _x000D_
pressoir rotatif Fournier, 1er mai au 31 mai 2022, par camion dompeur.</t>
  </si>
  <si>
    <t>Valorisation agricole, 745 rue St-Louis, St-Cyrille de Wendover, 49.64 tonnes métriques, _x000D_
siccité moyenne de 27.4% (boue biologique et septique), _x000D_
pressoir rotatif Fournier, 1er juin au 30 juin 2022, par camion dompeur.</t>
  </si>
  <si>
    <t>Valorisation agricole, 745 rue St-Louis, St-Cyrille de Wendover, 102.37 tonnes métriques, _x000D_
siccité moyenne de 29,3% (boue biologique et septique), _x000D_
pressoir rotatif Fournier, 1er juillet au 31 juillet 2022, par camion dompeur.</t>
  </si>
  <si>
    <t>Valorisation agricole, 745 rue St-Louis, St-Cyrille de Wendover, 222,28 tonnes métriques, _x000D_
siccité moyenne de 31,8% (boue biologique et septique), _x000D_
pressoir rotatif Fournier, 1er août au 31 août 2022, par camion dompeur.</t>
  </si>
  <si>
    <t>Valorisation agricole, 745 rue St-Louis, St-Cyrille de Wendover, 164,34 tonnes métriques, _x000D_
siccité moyenne de 33,8 % (boue biologique et septique), _x000D_
pressoir rotatif Fournier, 1er sept. au 30 sept. 2022, par camion dompeur.</t>
  </si>
  <si>
    <t>Valorisation agricole, 745 rue St-Louis, St-Cyrille de Wendover, 122,49  tonnes métriques, _x000D_
siccité moyenne de 26,5% (boue biologique et septique), _x000D_
pressoir rotatif Fournier, 1er oct. au 31 oct. 2022, par camion dompeur.</t>
  </si>
  <si>
    <t>Valorisation agricole, 745 rue St-Louis, St-Cyrille de Wendover, 61,00 tonnes métriques, _x000D_
siccité moyenne de 28,4% (boue biologique et septique), _x000D_
pressoir rotatif Fournier, 1er nov. au 30 nov. 2022, par camion dompeur.</t>
  </si>
  <si>
    <t xml:space="preserve">Valorisation agricole, 745 rue St-Louis, St-Cyrille de Wendover, 25,42 tonnes métriques, _x000D_
siccité moyenne de 24,3% (boue biologique et septique), _x000D_
pressoir rotatif Fournier, 1er déc. au 31 déc. 2022, par camion dompeur._x000D_
</t>
  </si>
  <si>
    <t>Ouvrage municipal d'assainissement des eaux usées de Saint-Damien</t>
  </si>
  <si>
    <t>Saint-Damien</t>
  </si>
  <si>
    <t>Vidange de la fosse septique et de la fosse à boue d'un volume de 227 mètres cubes par aspiration dans des camions de vidange septique La compagnie qui a pris en charge les travaux est Vacuum Saint-Gabriel et les travaux ont été réalisé le 23 juin 2022.</t>
  </si>
  <si>
    <t xml:space="preserve">Les boues ont été amené par la compagnies Vacuum Saint-Gabriel au site d'élimination de E.B.I. </t>
  </si>
  <si>
    <t>étang #3, début 18 octobre fin 26 octobre, pompage en bassin isolé, 6000 m3, siccité 2,3 %</t>
  </si>
  <si>
    <t>Lit de séchage, revalorisation agricole, 20 % siccité, étang #3, 3 au 12 octobre,  loader et camion benne</t>
  </si>
  <si>
    <t>pompage du bassin de boue le  20/06/2022 par camion vacuum. 13 m3  2% de siccité</t>
  </si>
  <si>
    <t>Camion vacuum, sani protex, 11.3 m3, 2% dee siccité, bassin de sedimentation, 16 novembre 2022</t>
  </si>
  <si>
    <t>Pompage avec camion vacuum des bassin 3 et 4 : soutirage de 220m3, début le 25 et fini le 26 mai.</t>
  </si>
  <si>
    <t>Les boues ont été prise en charge sous forme liquide, par Sani Manic pour en disposé dans leur site de traitement de Matane.</t>
  </si>
  <si>
    <t>du 01 au 31 janvier 2022, les boues acheminées au bassin d'extraction , sont centrifugées a uen siccité de 21 %, au total 73.49 tonnes ont été valorisé par viridis environement a la ferme du ruisseau mirabel .</t>
  </si>
  <si>
    <t>du 01 au 28 février 2022, les boues des décanteurs sont acheminée au bassin d'emagasinement, centrifuger a une siccité de 22% totalisant 45.37 tonnes ont été valorisée à la fermes du ruisseau de mirabel.</t>
  </si>
  <si>
    <t>du 01 au 31 mars 2022 , les boues acheminées au bassin d'extraction , sont centrifugées a une siccité de 19 % . Au total 84.56 tonnes ont été valorisées  par viridis environnement à la ferme du ruisseau mirabel .</t>
  </si>
  <si>
    <t>Du 01 au 30 avril 2022, les boues acheminées au bassin d' extraction , sont centrifugées à une siccité de 21 %. Au total  59.83 tonnes ont été valorisées par Viridis environnement à la ferme du Ruisseau Mirabel .</t>
  </si>
  <si>
    <t>du 01 au 31 mai 2022 nous avons déshydrater les boues du bassin d'emmagasinement a une siccité de 21% totalisant 24.69 tonnes revalorisé par viridis environnement a la ferme du ruisseau Mirabel.</t>
  </si>
  <si>
    <t>du 01 au 30 juin 2022 les boues acheminées au bassin d'extraction sont centrifugé a une siccité de 21 % . au total 40.95 tonnes ont été valoriser par viridis envrionnement a la ferme du ruisseaux mirabel .</t>
  </si>
  <si>
    <t>Du 01 au 31 Juillet 2022, les boues acheminées au bassin d'extraction, sont centrifugées à une siccité de 21%. Au total 57.08 tonnes ont été valorisées par la firme viridis environnement à la ferme de l'éclatière.</t>
  </si>
  <si>
    <t>du 01 au 31 aout 2022 les boue ont été centrifugée a une siccité de 20% totalisant 77.68 tonne de boue valorisé par viridis aux ferme l'éclartière</t>
  </si>
  <si>
    <t>du 01 au 30 septembre 2022, les boues acheminées au bassin d'extraction, sont centrifugées à une siccité de 21 %._x000D_
Au total 33.78 tonnes ont été valorisées par Viridis environnement à la ferme l'Éclatière.</t>
  </si>
  <si>
    <t>du 01 au 31 octobre 2022 nous avons, soutirer les boues avec les pompes du décanteurs acheminée au bassin d'emmagasinement sont centrifugé a une siccité de 21% ont été valorisée par la firme viridis aux fermes du ruisseau et l'éclatière.</t>
  </si>
  <si>
    <t>La quantité de boues générée en octobre a été estimée à partir de la quantité mensuelle moyenne produite pour les autres mois de 2022.</t>
  </si>
  <si>
    <t>u 01 au 30 novembre 2022, les boues des decanteurs sont acheminé au bassin d'extraction puis centrifugée a une siccité de 20% totalisant 69.93 tonnes de boue revalorisée par la firme viridis aux fermes du ruisseau et l'éclatière.</t>
  </si>
  <si>
    <t>les boues des décanteurs sont acheminer au bassin d'extraction puis centrifuger a une siccité de 20% cumulant47.31 tonne de boue revaloriser par viridis environnement au fermes du ruisseau mirabel et l'éclatière</t>
  </si>
  <si>
    <t>Déshydratations quotidienne par Centrifugeuse, disposition site de la ferme Ruisseau Mirabel (plate forme), et la ferme de l'Éclatière SENC pour la valorisation des boues, quantités disposées 64,9 tonnes métrique humides (THM), avec une siccités moyenne mensuelle de 24,4 %. Provenant de l'épaississeur</t>
  </si>
  <si>
    <t>Déshydratations quotidienne par Centrifugeuse, disposition à la ferme Ruisseau Mirabel (plate forme),  pour la valorisation des boues, quantités disposées 74,04 tonnes métrique humides (THM), avec une siccités moyenne mensuelle de 24 %. Provenant de l'épaississeur</t>
  </si>
  <si>
    <t>Déshydratations quotidienne par Centrifugeuse, disposition site de la ferme Ruisseau Mirabel (plate forme), et la ferme Pert Inc. pour la valorisation des boues, quantités disposées 85,45 tonnes métrique humides (THM), avec une siccités moyenne mensuelle de 25,4 %. Provenant de l'épaississeur</t>
  </si>
  <si>
    <t>Déshydratations quotidienne par Centrifugeuse, disposition à la ferme Ruisseau Mirabel (plate forme), et a la ferme PERTH INC, pour la valorisation des boues, quantités disposées 87,81 tonnes métrique humides (THM), avec une siccités moyenne mensuelle de 26,3 %. Provenant de l'épaississeur.</t>
  </si>
  <si>
    <t>Déshydratations quotidienne par Centrifugeuse, disposition à la ferme Ruisseau Mirabel (plate forme),  pour la valorisation des boues, quantités disposées 88,48 tonnes métrique humides (THM), avec une siccités moyenne mensuelle de 25,3 %. Provenant de l'épaississeur.</t>
  </si>
  <si>
    <t>Déshydratations quotidienne par Centrifugeuse, disposition à la ferme Ruisseau Mirabel (plate forme), pour la valorisation des boues, quantités disposées 101,16 tonnes métrique humides (THM), avec une siccités moyenne mensuelle de 24,6 %. Provenant de l'épaississeur</t>
  </si>
  <si>
    <t xml:space="preserve">Déshydratations quotidienne par Centrifugeuse, disposition à la ferme Ruisseau Mirabel et a la ferme l'Éclatière S.E.N.C., pour la valorisation des boues, quantités disposées 98,54 tonnes métrique humides (THM), avec une siccités moyenne mensuelle de 23,7 Provenant de l'épaississeur_x000D_
_x000D_
</t>
  </si>
  <si>
    <t>Déshydratations quotidienne par Centrifugeuse, disposition site de la ferme de l'Éclatière SENC pour la valorisation des boues, quantités disposées 108,56 tonnes métrique humides (THM), avec une siccités moyenne mensuelle de 23,1 %. Provenant de l'épaississeur</t>
  </si>
  <si>
    <t>Déshydratations quotidienne par Centrifugeuse, disposition à la ferme  l'Éclatière S.E.N.C., pour la valorisation des boues, quantités disposées 93,84 tonnes métrique humides (THM), avec une siccités moyenne mensuelle de 23,5 Provenant de l'épaississeur</t>
  </si>
  <si>
    <t>Déshydratations quotidienne par Centrifugeuse, disposition à la ferme l'Éclatière S.E.N.C. et a la ferme du Ruisseau Mirabel, pour la valorisation des boues, quantités disposées 83,71 tonnes métrique humides (THM), avec une siccités moyenne mensuelle de 22,8 Provenant de l'épaississeur</t>
  </si>
  <si>
    <t>Déshydratations quotidienne par Centrifugeuse, disposition à la ferme Ruisseau Mirabel et a la ferme l'Éclatière S.E.N.C., pour la valorisation des boues, quantités disposées 62,02 tonnes métrique humides (THM), avec une siccités moyenne mensuelle de 23,2 % Provenant de l'épaississeur</t>
  </si>
  <si>
    <t>Déshydratations quotidienne par Centrifugeuse, disposition à la ferme Ruisseau Mirabel (plate forme), et a la ferme l'Éclatière S.E.N.C, , pour la valorisation des boues, quantités disposées 70,37 tonnes métrique humides (THM), avec une siccités moyenne mensuelle de 24,3 %. Provenant de l'épaississeur.</t>
  </si>
  <si>
    <t>en novembre</t>
  </si>
  <si>
    <t>vidange des boues oui campor la quantité exact a venir</t>
  </si>
  <si>
    <t>quantité exact a venir par vaccum</t>
  </si>
  <si>
    <t>Vidange sélective avec camion vaccuum sanitaire Juggler de la fosse septique FSI - 1 - Principal. La vidange a eu lieu le 27 octobre et la quantité soutirées est de 25 mètres cube avec une siccité moyenne des boues d'environs 3%.</t>
  </si>
  <si>
    <t xml:space="preserve">Vidange sélective avec camion vaccuum sanitaire Juggler de la fosse septique FSI - 1 - Principal. La vidange a eu lieu le 27 octobre et la quantité soutirées est de 25 mètres cube avec une siccité moyenne des boues d'environs 3%. Les boues ont été acheminées à l'usine de traitement des boues usées de la Régie intermunicipale de gestion des déchets solides de la région de Coaticook située au 1095 ch. Bilodeau à Coaticook. </t>
  </si>
  <si>
    <t>Les boues ont été considérées comme étant liquides ; une densité de 1 tonne/m3 a été utilisée pour transposer le volume en tonnage. Bien que le mode de disposition ne soit pas précisé, les boues ont été considérées comme compostées à la RIGDSC.</t>
  </si>
  <si>
    <t>Transporté hebdomadairement par un camion déchet au site d'enfouissement sanitaire de la MRC de Lotbinière, la quantité de boues évacuée est de .670 m3._x000D_
_x000D_
Nous avons un système de dégrillage fin pour le traitement des eaux usées.</t>
  </si>
  <si>
    <t>Transporté hebdomadairement par un camion déchet au site d'enfouissement sanitaire de la MRC de Lotbinière. La quantité de boues évacuée est de .60 m3._x000D_
_x000D_
Nous avons un système de dégrillage fin pour le traitement des eaux usées.</t>
  </si>
  <si>
    <t>Transporté hebdomadairement par un camion déchet au site d'enfouissement sanitaire de la MRC de Lotbinière, la quantité de boues évacuée est de 0.60 m3._x000D_
Nous avons un système de dégrillage fin pour le traitement des eaux usées.</t>
  </si>
  <si>
    <t>Transporté hebdomadairement par camion déchet au site d'enfouissement sanitaire de la MRC de Lotbinière, la quantité de boues évacuée est de 0.15 m3._x000D_
Nous avons un système de dégrillage fin pour le traitement des eaux usées. Le canal a également été nettoyé à l'aide d'un camion vacuum de la compagnie Sani-Orléan.</t>
  </si>
  <si>
    <t xml:space="preserve">Les boues ont été pompées une fois durant la période par Sani-Orléan. </t>
  </si>
  <si>
    <t>Ouvrage municipal d'assainissement des eaux usées de Saint-Édouard-de-Maskinongé</t>
  </si>
  <si>
    <t>Saint-Édouard-de-Maskinongé</t>
  </si>
  <si>
    <t>Identification de la cellule 3_x000D_
Date de début 6 septembre 2022_x000D_
Date de fin 6 septembre 2022_x000D_
Méthode utilisée Pompage et disposition sous forme liquide_x000D_
Quantité soutirée (m3) 11,19_x000D_
Siccité moyenne des boues soutirées (%) 2,40</t>
  </si>
  <si>
    <t>Méthode de disposition: Épandage pour valorisation agricole_x000D_
Lieu de disposition Marcel Morin, Saint-Édouard-de-Maskinongé_x000D_
Quantité de boues évacuée (m3) 11,19_x000D_
Siccité moyenne des boues évacuées (%) 2,40_x000D_
Identification de la cellule 3_x000D_
Date de début 6 septembre 2022_x000D_
Date de fin 6 septembre 2022_x000D_
Méthode utilisée Pompage et disposition sous forme liquide</t>
  </si>
  <si>
    <t xml:space="preserve">Les boues ont été considérées comme étant liquides ; une densité de 1 tonne/m3 a été utilisée pour transposer le volume en tonnage. </t>
  </si>
  <si>
    <t>Ouvrage municipal d'assainissement des eaux usées de Sainte-Eulalie</t>
  </si>
  <si>
    <t>Sainte-Eulalie</t>
  </si>
  <si>
    <t>Par vacuum, étang #2, 60m³, siccité entre 1% et 5%. Bassin des bouts, date : 13-01-2022</t>
  </si>
  <si>
    <t>Aucune boue comptabilisée puisqu'elles ont été disposées dans l'étang 2.</t>
  </si>
  <si>
    <t>Par vacuum, disposition dans étang #2. 60m3, siccité entre1% et 5%.  7-02-2022_x000D_
Par vacuum, disposition dans étang #2, 60m3, siccité entre1% et 5%. 24-02-2022</t>
  </si>
  <si>
    <t>LE 14 ET LE 29 MARS 2022, PAR VACUUM, ÉTANG #2, 100 METRES CUBES, SICCITÉ ENTRE 1 ET 5 %,  LA FIN DES VIDANGES SONT LES MEMES JOURNÉES ( LE 14 AINSI QUE LE 29 MARS. )</t>
  </si>
  <si>
    <t>08 , 14 , 22 avril. Par vacuum, 150 mètre cube total. Disposé dans étang #2. siccité entre 1 et 5 %.</t>
  </si>
  <si>
    <t>Le 3, 18, mai 2022. par vacuum, 90 mètre cubes total. siccité entre 1% et 5%. disposition dans étang #2. la fin de la vidange est la même journée que la vidange.</t>
  </si>
  <si>
    <t>2-06-2022, 14-06-2022, 28-06-2022. par vacuum, étang # 2, 160 mètres cubes total, siccité entre 1 % et 5%, bassin des boues.</t>
  </si>
  <si>
    <t xml:space="preserve">Le 14 et le 26 juillet, par vacuum, disposé dans étang #2, total : 120m3, siccité entre 1% et 5%, </t>
  </si>
  <si>
    <t>Le 11 et le 19 aout, par vacuum, 110m3 au total, siccité entre 1% et 5%, disposé dans étang # 2 .</t>
  </si>
  <si>
    <t>Le 1, 9, 19, par vacuum, 150m3 total, siccité entre 1% et 5%, disposé dans étang #2.</t>
  </si>
  <si>
    <t>Le 11 et le 20 octobre, par vacuum, environ 120 m3, disposé dans étang #2, siccité entre 1% et 5%, La vidange a été effectuer aux dates indiquées.</t>
  </si>
  <si>
    <t xml:space="preserve">Le 11 et le 24 nov. par vacuum, disposé dans étang #2, environ 90 mètres cubes, siccité entre1% et 5%, le tout a été effectué les mêmes journées.  </t>
  </si>
  <si>
    <t>vidange le 2,12,27 déc. , par vacuum, disposé dans étang #2, quantité 150m3 , siccité moyenne entre 1 et 5 %, le début et la fin des vidanges sont les même date indiqués sois le 2, 12, 27 déc.</t>
  </si>
  <si>
    <t>Ouvrage municipal d'assainissement des eaux usées de Sainte-Flavie (Mont-Joli)</t>
  </si>
  <si>
    <t>Sainte-Flavie</t>
  </si>
  <si>
    <t xml:space="preserve">La méthode de disposition est l'épandage en milieu agricole dans des sites autorisés par le MDDEEP sous surveillance d'un agronome.    Ferme Lavoie et fils 267 2e Rang E Sainte-Luce (Québec) G0K1P0 Canada 1577 mètre cube.  _x000D_
423 mètre cube ont été disposés a la ferme  René-Jean Lebel au 865 ch. de Price Mont-Joli (Québec) G5H3K6 Canada. Deuxième .  La siccité moyenne des boues était de 46,75 %.  Les boues ont été prises dans le bassin 1_x000D_
_x000D_
Les travaux ont débutés le 09 septembre 2022 et se sont terminés le 20 octobre 2022.  La méthode utilisée pour la disposition des boues  était par transport de camions._x000D_
_x000D_
Note: Les boues avaient été stockées dans des sacs en 2015 par un entrepreneur accrédité pour la vidange des étangs aérées.  La méthode utilisée était par pompage et dégrillage des boues. </t>
  </si>
  <si>
    <t>Disposé de 60 m3 de boues avec une siccité de 4%.  Les boues ont été transportées chez Eco Environnement à Acton Vale.</t>
  </si>
  <si>
    <t>Disposition de 30 m3 avec une siccité de 4%. Les boues ont été transportées chez Eco Environnement à Acton Vale.</t>
  </si>
  <si>
    <t>Disposition de 56m3 envoyer a Acton vale  chez Ecc environement avec 4% de cécité.</t>
  </si>
  <si>
    <t xml:space="preserve">disposition de 90 m3 de boue chez ecc environnements  Acton Vale extraite par camion citerne </t>
  </si>
  <si>
    <t xml:space="preserve">disposé de 90 m3 de boue chez ecc environnements actons Vale par camion citerne à 4% de cécité </t>
  </si>
  <si>
    <t xml:space="preserve">disposé de 84m3 de boue chez ECC environnement transporté avec une citerne à 4% de cécité. </t>
  </si>
  <si>
    <t>disposé de 84 m3 transporté par camion citerne cher Ecc environnement à Acton Vale.</t>
  </si>
  <si>
    <t xml:space="preserve">Disposé de 112 m3 de boue par citerne chez ecc environnement Acton Vale </t>
  </si>
  <si>
    <t>Disposition de 135m3 de boue pomper dans une citerne et envoyer chez ecc environnement Acton vale à environ 4% de siccité, les boues sont dans un bassin de sédimentation temporaire qui est vidé une fois semaine.</t>
  </si>
  <si>
    <t xml:space="preserve">140 m3 de boue pomper et transporté par Citerne chez Ecc environnement Acton Vale à 4% de siccité cela proviens du bassin de sédimentation temporaire. J'effectue cette vidange environ 1 fois semaine </t>
  </si>
  <si>
    <t>100 m3 de boue pompé dans une citerne et transporté chez Ecc environnement Acton Vale à environ 4% de siccité je transborde les boue dans un bassin de sédimentation temporaire et j'ai fait 3 voyage ce mois si.</t>
  </si>
  <si>
    <t>Vidage des deux fosses no 1 de gauche et de droite pour ensuite transporter les boues jusqu'à l'usine de traitement des eaux</t>
  </si>
  <si>
    <t>2 voyages du camion vaccum de Sani-Manic</t>
  </si>
  <si>
    <t>Sani -Manic St-Anaclet</t>
  </si>
  <si>
    <t>Ouvrage municipal d'assainissement des eaux usées de Sainte-Mélanie</t>
  </si>
  <si>
    <t>Oxydation rapide avec polissage</t>
  </si>
  <si>
    <t>Sainte-Mélanie</t>
  </si>
  <si>
    <t>Début de la vidange le 29 octobre._x000D_
Méthode: Déshydratation par centrifugeuse._x000D_
Lieu:_x000D_
- 390, rang Double, St-Ambroise-de-Kildare - Ferme Jacques Brouillette_x000D_
- 2951, 1ere Chaloupe, Ste-Élizabeth  -  Paul-Omer et Diane Lavallée SENC_x000D_
- 5451 rang St-Vincent, Mirabel - Ferme Christina et Sylvain Cardinal SENC_x000D_
_x000D_
La résultats de siccité et la quantité de boue évacuée sera acheminé au rapport de novembre.</t>
  </si>
  <si>
    <t>Quantité: 204.72 T.M_x000D_
Siccité moyenne: 31.25%_x000D_
Date de début de la vidange: 29 octobre 2022_x000D_
Fin de la vidange: 05 novembre 2022_x000D_
Les deux étangs ont été vidangés._x000D_
Les autres informations se trouve au rapport SOMAEU du mois d'octobre.</t>
  </si>
  <si>
    <t>Ouvrage municipal d'assainissement des eaux usées de Sainte-Sophie</t>
  </si>
  <si>
    <t>Sainte-Sophie</t>
  </si>
  <si>
    <t xml:space="preserve">Identification de la cellule : 1, Quantité de boues évacuées 185,86 TMS, siccité moyenne 53%, Date de début 23 avril 2022, Date de fin 27 avril, Méthode utilisée pompage et déshydratation mécanisée par centrifugeuse_x000D_
_x000D_
Identification de la cellule : 2, Quantité de boues évacuées 103,55 TMS, siccité moyenne 23,3 %, Date de début 28 avril 2022, Date de fin 3 mai, Méthode utilisée pompage et déshydratation mécanisée par centrifugeuse_x000D_
_x000D_
Identification de la cellule : 3, Quantité de boues évacuées 162,72 TMS, siccité moyenne 33,8 %, Date de début 5 mai 2022, Date de fin 8 mai, Méthode utilisée pompage et déshydratation mécanisée par centrifugeuse_x000D_
</t>
  </si>
  <si>
    <t xml:space="preserve">Méthode de disposition épandage pour valorisation agricole Lieu de disposition Ferme Chartrand et fils, Mirabel et Ferme Ranche Therrien de Mirabel.
Date: 23 avril au 8 mai 2022
Étang no 1, 185,86 TMS, siccité 53,0%
Étang no 2, 103,55 TMS, siccité 23,3%
Étang no 3, 162,72 TMS, siccité 33,8%
</t>
  </si>
  <si>
    <t>Ouvrage municipal d'assainissement des eaux usées de Saint-Esprit</t>
  </si>
  <si>
    <t>Saint-Esprit</t>
  </si>
  <si>
    <t>Date de vidange Cellule no 1: 17 au mai 2022 _x000D_
_x000D_
Date de vidange Cellule no 2: 24 au 25 mai 2022_x000D_
_x000D_
Méthode utilisée: Pompage et déshydratation mécanisée par centrifugeuse_x000D_
_x000D_
Quantité soutirée: Cellule no 1: 206,78 TMS; Cellule no 2: 68,06 TMS_x000D_
_x000D_
Siccité moyenne des boues soutirées (%):  Cellule no 1: 33,6% ; Cellule no 2: 33,8%</t>
  </si>
  <si>
    <t>Méthode de disposition: Épandage pour valorisation agricole
Lieu de disposition: Ferme OLI Inc., Repentigny et Ferme Roger Longpré, Repentigny 
Quantité de boues évacuée: Cellule no 1: 206,78 TMS et Cellule no 2: 68,06 TMS
Siccité moyenne des boues évacuées (%): Cellule no 1: 33,6 et Cellule no 2: 33,8%
Date de vidange cellule no 1: 17 au 24 mai 2022
Date de vidange celle no 2: : 24 au 25 mai 2022
Méthode de vidange utilisée: Pompage et déshydratation mécanisée par centrifugeuse</t>
  </si>
  <si>
    <t>vidange de la fosse avec camion vacuum 3000gallon sortie</t>
  </si>
  <si>
    <t>disposition des boues au site d'enfouissement avec camion vaccum</t>
  </si>
  <si>
    <t>En raison du manque de précision, la quantité saisie correspond au volume déclaré par l'exploitant (gallons transposés en m3).</t>
  </si>
  <si>
    <t>vidange de 3000 gallon par camion vacuum</t>
  </si>
  <si>
    <t>3000g envoyé au site d'enfouissement</t>
  </si>
  <si>
    <t>Disposition par camion benne. JMV Environnement. Quantité de boues évacuées: 591,79 m³. Siccité moyenne des boues: 22,2 %. Site disposé: Ferme G.L. Henderson, 187, rang de la Rivière-Noire Nord, Saint-Cnhrysostome</t>
  </si>
  <si>
    <t>Disposition par camion benne. JMV Environnement. Quantité de boues évacuées: 558,9 m³. Siccité moyenne des boues: 23,1 %. Détails des totaux par site: Ferme G.L. Henderson, 1874, rang Rivière noire nord, St-Chrysostome: 190,48 m³; Ferme Jean Dumesnil, 339, 4e avenue, St-Blaise sur richelieu: 218,54 m³; Ferme Benoit Champagne, 581, Côte St-Jean, St-Roch sur le Richelieu: 92,03 m³; Ferme Benallan, 545, chemin Bethany, Lachute: 57,83 m³.</t>
  </si>
  <si>
    <t>Disposition des boues par camion benne. JMV Environnement. quantité de boues évacuées: 607,1 m³. Siccité moyenne: 24,7 %. Site de disposition: Ferme Benallan, 545, Chemin Bethany, Lachute.</t>
  </si>
  <si>
    <t>Disposition par camion benne. JMV Environnement. Quantité de boues évacuées: 511,97 m³. Siccité moyenne: 25,3 %. _x000D_
Détail des totaux par site: Antonia Cotoia Ste-Anne des Plaines: 54,43 m³; Benoit Champagne, St-Roch sur le Richelieu: 245,71 m³; Ben Hammond Lachute: 45,99 m³; Complexe Enviro Connextions Terrebonne: 18,24 m³; Patrick Bertrand Mercier: 71,50 m³`; WM Sainte-Sophie: 76,10 m³.</t>
  </si>
  <si>
    <t>Disposition des boues par camion benne par JMV Environnement. Quantité total de boues évacuées: 641,4 m³. Siccité moyenne: 25,3 %._x000D_
Détails des totaux: Ferme Benallan, Lachute: 389,01 m³; Ferme Benoit Champagne, St-Roch sur le Richelieu: 75,82 m³; Ferme G.L. Henderson, St-Jean Chrysostome:  123,96 m³.</t>
  </si>
  <si>
    <t>Disposition par camion benne par JMV environnement. Quantité des boues évacuées pour le mois: 590,6 m³. Siccité moyenne des boues: 26,3 %. Détail des totaux par site: Patrick Bertrand, Mercier: 291,21 m³; Dominic Girard, St-Germain Grantham: 22,46 m³; Antonia Cotoia, Ste-Anne des Plaines: 68,97 m³; Robert Coursol, Ste-Anne des Plaines: 207,95 m³.</t>
  </si>
  <si>
    <t>Disposition par camion benne JMV Environnement. Quantité de boues évacuées: 576,53 m³. Siccité moyenne des boues: 24,8 %._x000D_
Détail des totaux par site: Antonia Cotoia, Ste-Anne des Plaines: 139,14 m³; Dominic Girard, St-Germain de Grantham: 179,92 m³; Ben Hammond Lachute: 257,47 m³.</t>
  </si>
  <si>
    <t>Total: 642.29 Tonnes Humides Valorisation agricole. Ferme Benallan (Ben HammondO Lachute: 397.9 TMH. Boucherie Dominic Girard St-Germain de Grantham: 219093 TMH. Ferme Antonia Cotoia, Ste-Anne des Plaines 24.46 TMH. Siccité. Siccité moyenne 24.3%.</t>
  </si>
  <si>
    <t>Disposition par camion benne par JMV Environnement. Quantité de boues évacuées: 587,82 m³. Siccité moyenne des boues: 24.2%. Détails des totaux par site: Ferme Benallan, Ben Hammond, Lachute: 222,42 m³; Ferme Antonio Cotoia, Ste-Anne des Plaines: 342,06 m³; Fermes Gilles Ouimet, Ste-Anne des Plaines: 23,34 m³.</t>
  </si>
  <si>
    <t>Disposition par camion benne par JMV Environnement. Quantité totale des boues évacuées pour octobre 2022: 580,25 m³. Siccité moyenne des boues: 23,9 %._x000D_
Détail des totaux par site: Ferme Benallan, Ben Hammond, Lachute: 309,94 m³; Ferme Antonio Cotoia, Sainte-Anne des Plaines: 204,43 m³; Ferme Gilles Ouimet, Sainte-Anne des Plaines: 65,88 m³.</t>
  </si>
  <si>
    <t>Disposition par camion benne par JMV Environnement. Quantité totale des boues évacuées pour novembre 2022: 659,96 m³. Siccité moyenne des boues: 23,9 %.Détail des totaux par site: Ferme Benallan, Ben Hammond, Lachute: 92,63 m³; Ferme Antonio Cotoia, Sainte-Anne des Plaines: 155,90 m³; Les Entreprises HDJS Gascon, Lefaivre, Ontario: 411,43 m³.</t>
  </si>
  <si>
    <t>Disposition par camion benne par JMV Environnement. Quantité des boues évacuées pour le mois: 506,55 m³, sur un seul site: Les Ent. HDJS Gascon Ltée, Alfred Gascon, Lefaivre, Ontario. Siccité moyenne des boues évacuées: 24,2 %.</t>
  </si>
  <si>
    <t>LA VIDANGE DE LA FOSSE (COMPARTIEMENT1,2,3 et 4) SITUÉE AU SITE DE TRAITEMENT A ÉTÉ EFFECTUÉE PAR LA FIRME "SANI-ORLÉANS INC" LE 26 OCTOBRE 2022 ENTRE 7H30_x000D_
et 11h45. LES BOUES ONT ÉTÉ ASPIRÉES PAR LE SYSTÈME DE VACUUM DE TYPE "JUGGLER" ET TRANSPORTÉES PAR CAMION CITERNE ET REMORQUE CITERNE. LE VOLUME DE_x000D_
BOUES POMPÉ A ÉTÉ DE 56.4 m.c. LE POURCENTAGE DE SICCITÉ MOYENNE N'EST PAS DISPONIBLE.</t>
  </si>
  <si>
    <t>LES BOUES ONT ÉTÉ TRANSPORTÉES AU SITE DE TRAITEMENT "EST" DE LA VILLE DE QUÉBEC ET DISPOSÉES LE MÊME JOUR (26 NOV 2020 - 13H05). LE VOLUME DISPOSÉ EST DE_x000D_
56.4 m.c. ET LE pH DES BOUES EST DE 6.0.</t>
  </si>
  <si>
    <t>Aucune boue comptabilisée puisqu'elles ont été acheminées à l'ouvrage municipal d'assainissement des eaux usées de Québec (Est).</t>
  </si>
  <si>
    <t>Une entreprise prend en charge la disposition des boues et transporte le tout directement à son usine._x000D_
La quantité de boues évacuée est de 1,03 m3 sur une période de 49 jours.</t>
  </si>
  <si>
    <t xml:space="preserve">Une entreprise prend en charge la disposition des boues et transporte le tout directement à son usine._x000D_
La quantité de boues évacuée est de 0.83 m3 sur une période de 40 jours._x000D_
</t>
  </si>
  <si>
    <t>Une entreprise prend en charge la disposition des boues et transporte le tout directement à son usine._x000D_
La quantité de boues évacuée est de 1,22 m3 sur une période de 61 jours.</t>
  </si>
  <si>
    <t xml:space="preserve">Une entreprise prend en charge la disposition des boues et transporte le tout directement à son usine._x000D_
La quantité de boues évacuée est de 0.71 m3 sur une période de 30 jours._x000D_
</t>
  </si>
  <si>
    <t xml:space="preserve">Une entreprise prend en charge la disposition des boues et transporte le tout directement à son usine._x000D_
La quantité de boues évacuée est de 1.26 m3 sur une période de 59 jours._x000D_
</t>
  </si>
  <si>
    <t xml:space="preserve">Une entreprise prend en charge la disposition des boues et transporte le tout directement à son usine._x000D_
La quantité de boues évacuée est de 1,36 m3 sur une période de 76 jours._x000D_
</t>
  </si>
  <si>
    <t xml:space="preserve">Une entreprise prend en charge la disposition des boues et transporte le tout directement à son usine._x000D_
La quantité de boues évacuée est de 1.07m3 sur une période de 47 jours._x000D_
</t>
  </si>
  <si>
    <t>Enfouissement au site EBI, 28,94 m3, siccité moyenne de 13,3%</t>
  </si>
  <si>
    <t>Disposition par enfouissement au site EBI, 47,10 m3 à 13,3% de siccité moyenne</t>
  </si>
  <si>
    <t>Disposition par enfouissement au centre EBI, 39,73 m3 siccité moyenne de 13,3%</t>
  </si>
  <si>
    <t>disposition  par enfouissement au site EBI, 23,24 m3, siccité de 13,3%</t>
  </si>
  <si>
    <t>Disposition par enfouissement au site EBI, 45,79 m3, siccité moyenne de 13,3%</t>
  </si>
  <si>
    <t>disposition par enfouissement au site EBI, 49,66 m3, siccité moyenne de 13,3%</t>
  </si>
  <si>
    <t>disposition par enfouissement au site ebi, 39,34 m3, siccité moyenne de 13,3%</t>
  </si>
  <si>
    <t>Disposition par enfouissement au site EBI, 45,79m3, siccité moyenne de 13,3%</t>
  </si>
  <si>
    <t>Disposition par enfouissement au site EBI, 49,96 m3, siccité moyenne 13,1%</t>
  </si>
  <si>
    <t>Disposition par enfouissement au site EBI, 13,3% siccité moyenne, 29,92 m3</t>
  </si>
  <si>
    <t xml:space="preserve">disposition par enfouissement au site EBI, 24,90 m3, siccité moyenne de 15,5% </t>
  </si>
  <si>
    <t>disposition par enfouissement au site EBI, 35 m3, siccité moyenne de 15,5%</t>
  </si>
  <si>
    <t>Vidange des boues de fond des 4 bassins demarré durant la semaine du 17 aout 2022 par remise en suspension et pompage. Vidange encore en cours a la fin du mois. Données manquantes a transmettre sur somaeu de Septembre._x000D_
Déshydratation des boues avec centrifugeuse.</t>
  </si>
  <si>
    <t>Boue valides pour usage agricole. Donnée a un agriculteur local. Quantité totale reste a déterminer dans le somaeu de septembre</t>
  </si>
  <si>
    <t xml:space="preserve">Une vidange des trois étangs aérés a été opérée du 25 août au 25 septembre.
Bassin no 1 : 159.86 tms siccité moy : 25%
Bassin no 2 : 171.17 tms siccité moy : 21.5%
Bassin no 3 : 170.26 tms siccité moy : 22.2%
</t>
  </si>
  <si>
    <t>Les boues pompées dans les trois étangs aérés ont été valorisées chez des producteurs agricoles du 25 août au 25 septembre, pour un total de 501.29 Tonnes de Matières Sèches.</t>
  </si>
  <si>
    <t>Vidange partielle en cours de l'étangs #2.  Les résultats seront inscrit dans le rapport du mois de juin.</t>
  </si>
  <si>
    <t>Vidange partiel de l'étang #2 par pompage.  108,50 tms extrait de l'étangs avec une siccité moyenne de 2.2%</t>
  </si>
  <si>
    <t>Vidange de l'étang 2, du 16 mai au 27 mai et 02-08-2022 au 22-08-2022 par draguage et disposition dans des tubes sur le site.  _x000D_
Extraction de 108,50 tms en mai et de 97, 43 tms en août.</t>
  </si>
  <si>
    <t>Disposition d'une partie des boue extrait en 2021 de l'étang 1.  99,19tms qui ont été valorisées par Simetech.  Méthode de valorisation par épandage, responsabilité de Simetech.</t>
  </si>
  <si>
    <t>Les boues acheminées vers un géotube ne sont pas comptabilisées puisqu'elles seront disposées ultérieurement.
La quantité comptabilisée en épandage agricole correspond à la quantité en TMS déclarée par l'exploitant.</t>
  </si>
  <si>
    <t>Les 2 fosses septique ont été pompées les volumes seront inscrits dans le rapport du mois prochain</t>
  </si>
  <si>
    <t>3 novembre 2022 vidange par camion vaccum du bassin de boues du décanteur secondaire. 26,84 tonne métrique, 5,3% de siccité moyenne. Disposition à la régie de Coaticook.</t>
  </si>
  <si>
    <t>Bien que le mode de disposition ne soit pas précisé, les boues ont été considérées comme compostées à la RIGDSC.</t>
  </si>
  <si>
    <t>le 2 fevrier 1 voyage de boue par citerne de viridis environnement vers la fosse Ryan à Noyan 33.31 m3</t>
  </si>
  <si>
    <t>vidange du bassin des boues par viridis environnement vers fosse ryan à noyan 62.9m3 par citerne</t>
  </si>
  <si>
    <t>vidange du bassin des boues le 27-04 par Viridis environnement transporté par citerne vers la fosse Ryan à Noyan 61.42 m3</t>
  </si>
  <si>
    <t>vidange du bassin des boue de l'usine le 8 juin par citerne par viridis environnement vers la fosse R Bessette st-Alexandre 57.66 m3</t>
  </si>
  <si>
    <t>vidange du bassin des boues par citerne de Viridis Environnement 63.39 m3 disposition chez Ferme R. Bessette</t>
  </si>
  <si>
    <t>66.31m3 de boue évacué par citerne par viridis environnement vers le lieu de disposition fosse R.Bessette</t>
  </si>
  <si>
    <t>le 15-11 vidange du bassin des boues 70.01 m3 par camion citerne de viridis environnement vers la fosse Bessette à St-Alexandre</t>
  </si>
  <si>
    <t>Ouvrage municipal d'assainissement des eaux usées de Saint-Ignace-de-Loyola</t>
  </si>
  <si>
    <t>Saint-Ignace-de-Loyola</t>
  </si>
  <si>
    <t>La vidange des étangs 1 et 2 a été effectuée.  Date du début le 13 juillet 2022 et date de fin le 24 juillet 2022. La méthode utilisée est par pompage et déshydratation.
Les quantités soutirées sont les suivantes:  Étang 1   133.32 TMS et étang 2  18.92 TMS.  La siccité moyenne des boues soutirées est de 9 %</t>
  </si>
  <si>
    <t>La disposition des boues a été effectuée pour les étangs 1 et 2.  Date du début de la disposition des boues le 14 juillet 2022 et date de la fin le 25 juillet 2022. Les quantités évacuées sont les suivantes:  Étang 1  133.32 TMS et étang 2  18.92 TMS. La méthode utilisée est la valorisation agricole. La disposition a été effectuée dans 3 fermes de la municipalité soit Ferme Bercheva, Ferme des Iles et Ferme Joinville.  La siccité moyenne des boues évacuée est de 9 %</t>
  </si>
  <si>
    <t xml:space="preserve">jia fait vidanger la fosse ou les deux pompe de recirculation sont a lexterieur pour verifier leur fonctionnement_x000D_
</t>
  </si>
  <si>
    <t xml:space="preserve">la compagnie enviro5 est parti avec les boue pour en disposer dans leur usine </t>
  </si>
  <si>
    <t xml:space="preserve">nous avons soutirer les boue dans une fosse extérieur  nous avons soutirer 3254 kg de boue a laide d un vacuum truck de la compagnie Enviro 5 _x000D_
il se sont occupe de disposer des boue dans une leur usine les boue soutirer avait une siccité de 50% je vous dirais </t>
  </si>
  <si>
    <t>E.B.I. Benne Siccité: 16.8%, 40.23T.M.</t>
  </si>
  <si>
    <t>Benne, EBI St-Thomas, 30.71TM,16.9%siccité</t>
  </si>
  <si>
    <t>Benne, EBI, St-Thomas, 23.79t.m. Siccité: 17.4%</t>
  </si>
  <si>
    <t>benne, EBI St-Thomas, 15.82TM, siccité 18,3%</t>
  </si>
  <si>
    <t>EBI, siccité 15,9% , benne, 46.64 tm</t>
  </si>
  <si>
    <t>EBI, St-Thomas, benne,33.99TM</t>
  </si>
  <si>
    <t>siccité: 19,8%, Benne, EBI St-Thomas, 31,71t.m.</t>
  </si>
  <si>
    <t>EBI, 43.97tm, benne, St-Thomas, 19,1%siccité</t>
  </si>
  <si>
    <t>Benne, EBI St-Thomas, 30.74tm,18,5% siccité</t>
  </si>
  <si>
    <t>Benne, EBI St-Thomas, 38.11 T.M., Sicitté 15.9%</t>
  </si>
  <si>
    <t>EBI, St-Thomas, Benne, 31.93t.m., 17,5% siccité</t>
  </si>
  <si>
    <t>22.08t.m. EBI St-Thomas, benne, 15.9% siccité</t>
  </si>
  <si>
    <t>35 300 kg de boues d'une siccité moyenne de 14,6 % sont envoyées en valorisation dans la Municipalité de St-Alexandre.</t>
  </si>
  <si>
    <t>72810 kg de boues d'une siccité moyenne de 13.8 % sont envoyées en valorisation dans les Municipalités de St-Alexandre et Henryville.</t>
  </si>
  <si>
    <t>52380 kg de boues d'une siccité moyenne de 14.4 % sont envoyées en valorisation dans la Municipalité d'Henryville.</t>
  </si>
  <si>
    <t>43760 kg de boues d'une siccité moyenne de 14.8 % sont envoyées en valorisation dans la Municipalité d'Henryville</t>
  </si>
  <si>
    <t>46550 kg de boues d'une siccité moyenne de 13.8% sont envoyées en valorisation à la municipalité d' Henryville</t>
  </si>
  <si>
    <t>33 810 kg de boues d'une siccité moyenne de 14.4 % sont envoyées en valorisation dans la Municipalité d'Henryville.</t>
  </si>
  <si>
    <t>32 930 kg de boues d'une siccité moyenne de 15.8 % sont envoyées en valorisation à la municipalité d' Henryville</t>
  </si>
  <si>
    <t>33 740 kg de boues d'une siccité moyenne de 15.2 % sont envoyées en valorisation dans la Municipalité d'Henryville.</t>
  </si>
  <si>
    <t>52620 kg de boues d'une siccité moyenne de 13.9 % sont envoyées en valorisation à la municipalité d'Henryville et de St-Alexandre</t>
  </si>
  <si>
    <t>51720 kg de boues d'une siccité moyenne de 14.1 % sont envoyées en valorisation à la municipalité de St-Alexandre</t>
  </si>
  <si>
    <t>48 760 Kg avec une siccitée moyenne de 15,1% ont été envoyées à St-Alexandre, Henryville et Noyan.</t>
  </si>
  <si>
    <t>53380 kg de boues d'une siccité moyenne de 14.2 % sont envoyées en valorisation à la municipalité de St-Alexandre</t>
  </si>
  <si>
    <t>Ouvrage municipal d'assainissement des eaux usées de Saint-Jean-de-l'Île-d'Orléans</t>
  </si>
  <si>
    <t>Saint-Jean-de-l'Île-d'Orléans</t>
  </si>
  <si>
    <t>vidange de boues dans la cellule #4 le 20 septembre 2022 pompage fait par camion vacuum en urgence vu la grande quantité de cumulée._x000D_
La vidange a été faite par Sani-Orléans par camion et c'est eux qui sont occupés de la disposition des boues. D'après les mesures de boue effectué avant et après la vidange de la cellule #4 87,13 mètres cube aurait été pompé. La siccité nous est inconnue vu la méthode utilisée. J'ai discuté avec M. Maxime Lambert-Coté à plusieurs reprises pour lui expliquer la situation et la rapidité d'agir pour avoir un bon traitement. Ils'est déplacé la journée de la vidange pour voir l'exucution des travaux.</t>
  </si>
  <si>
    <t xml:space="preserve">Les boues ont été pompées et disposées par Sani-Orléans. D'après mes relevés (mesure de boues) ils ont pompé 87,13 mètres cube de boue ( 5 voyages à Lévis de camion a été fait). Les boues de la cellule #4 ont été traitées sur leur site et disposées par eux le 20 septembre 2022. </t>
  </si>
  <si>
    <t xml:space="preserve">Valorisation agricole : Agrobiosol Ferme L &amp; Y Toupin -650.06TM +Agrobiosol 68,55 TM + Ferme Muzzi 100,15TM total : 818,76 TM - Siccité : 30.8%_x000D_
</t>
  </si>
  <si>
    <t xml:space="preserve">Total de 949,46 TM - Agrobiosol: 348.85TM	MEUZZI JEURIS: 486.21TM	Ferme L &amp; Y Toupin: 114.4 TM  - Siccité 31.7%_x000D_
</t>
  </si>
  <si>
    <t>Valorisation agricole : 926.5 TM - 615.2TM Agrobiosol et 311.3TM Ferme Meuzzi Jeuris - 32.3%</t>
  </si>
  <si>
    <t xml:space="preserve">Valorisation agricole  794.50TM - Agrobiosol </t>
  </si>
  <si>
    <t>899 tm. Valorisation agricole ; Agrobiosol -   Siccité 32.3%</t>
  </si>
  <si>
    <t>Valorisation agricole : 664.8 Agrobiosol et 236TM Ferme Muzzi Alberton -  32% siccité</t>
  </si>
  <si>
    <t>Valorisation agricole : Agrobiosol : 338.10TM - Meuzzi Jeuris : 431.10TM - Ferme CPL Lacoste : 75.90TM - Total : 845.10TM -   32.5% Siccité moyenne</t>
  </si>
  <si>
    <t>Valorisation agricole : Agrobiosol : 500.50TM - Meuzzi Jeuris 65.2TM - Ferme CPL Lacoste 324.20TM - 32.3%</t>
  </si>
  <si>
    <t>Valorisation agricole tout le mois 924.77tm - Agrobiosol; 772.35TM, Ferme Meuzzi Alberton; 52TM et Ferme CPL Lacoste Mercier - 100.42TM -  32.9% siccité moyenne.</t>
  </si>
  <si>
    <t>Valorisation agricole : 30.8% de siccité moyenne. 414.4 Napierville rang St-André - 501.1 Agrobiosol - Total : 915.50TM</t>
  </si>
  <si>
    <t>Valorisation agricole :  Agrobiosol 501.1TM et Meuzzi Jeuris 414.40TM  - 29.8%</t>
  </si>
  <si>
    <t xml:space="preserve">Valorisation agricole - Total 922.4 tm - Agrobiosol 820.1TM et Ferme Meuzzi Jeuris 102.3TM  - 30.5% </t>
  </si>
  <si>
    <t xml:space="preserve">Date disposition finale: 11 oct. 2022_x000D_
Méthode de disposition: épandage valorisation agricole_x000D_
Lieu de disposition: dans la municipalité de Saint-Jean-Sur-Richelieu_x000D_
Quantité de boues évacuées en m³ : 504_x000D_
Siccité moyenne des boues évacuée en %: 18_x000D_
Identification du bassin: No 2_x000D_
Date de début et de fin de la vidange: 6, 7, 12 et 13 octobre 2021_x000D_
Méthode utilisée: Passive sur le site dans un sac géotextile </t>
  </si>
  <si>
    <t>Bassin no 1, du 24 au 31 août 2022. Méthode utilisée par dragage. et centrifugeuse_x000D_
Quantité soutirée: 1442 m3 centrifugée (371 TMS), siccité moyenne 25,67%</t>
  </si>
  <si>
    <t>Bassin no 1, 24 au 31 août 2022, valorisation agricole_x000D_
Quantité soutirée: 1442 m3 (371 TMS), siccité moyenne 25,67%_x000D_
Lieu: Benoit et Éric Hébert, Boucherville - Cartur inc., Mirabel - Ferme Yvon Filion (Novago), Lachute - Ferme Viajac (Novago), Mirabel - Éric Trépanier Succession, Fasset - Ferme Palene, St-Norbert - Les semences Ladouceur, Mirabel - Ghyslain Lauzon, Mirabel - Marc Desjardins (Novago) St-Ambroise-de-Kildare - Ferme Mes petits Caprices, St-Mathieu - Ferme La Hesbignonne, Lachute - Ferme Simak (Novago), St-Ambroise-de-Kildare - Claude Grégoire (Novago) L'Assomption - Ferme Lebeuf, Valleyfield - Ferme Perth, Notre-Dame-de-la-Paix - Ferme agricole Huma, St-Télésphore.</t>
  </si>
  <si>
    <t>Les boues ont été transposées en tonnes humides en prenant en considération les TMS et la siccité déclarées par l'exploitant.</t>
  </si>
  <si>
    <t xml:space="preserve">Bassin no 1, du 1er au 30 septembre 2022. Méthode utilisée par dragage. et centrifugeuse_x000D_
Quantité soutirée: 6451 m3 centrifugée (2082 TMS), siccité moyenne 32,25%_x000D_
</t>
  </si>
  <si>
    <t>Bassin no 1, 1er au 30 septembre 2022, valorisation agricole_x000D_
Quantité soutirée: 6451 m3 (2082 TMS), siccité moyenne 32,25%_x000D_
Lieu: Ferme agricole Huna, St-Télesphore, Ferme Benallan SENC Lachute, Ferme REjemas 2014 inc. Rawdon,  Marc Desjardins, St-Ambroise-de-Kildare, Ferme HV S.E.N.C. Mirabel, Guillaume Alary, Repentigny, Ferme Mattew Hammond, St-Colomban et Simon Touchette, St-André-Avelin</t>
  </si>
  <si>
    <t>Bassin no 1, du 3 au 13 octobre 2022.  Méthode utilisée par dragage. et centrifugeuse_x000D_
Quantité soutirée: 3 179 m3 centrifugée (1131 TMS), siccité moyenne 35,51%_x000D_
_x000D_
Bassin no 2, du 14 au 31 octobre 2022.  Méthode utilisée par dragage. et centrifugeuse_x000D_
Quantité soutirée: 4 925 m3 centrifugée (1862 TMS), siccité moyenne 37,85%</t>
  </si>
  <si>
    <t>Bassin no 1, 3 au 13 octobre 2022, valorisation agricole
Quantité soutirée: 3 179 m3 (1131 TMS), siccité moyenne 35,51%
Lieu: Ferme Mes petits Caprices. St-Mathieu - Ferme agricole Huna, St-Télesphore - Les Fermes Lortie St-Lin-Laurentides - Dominic Drainville L'Assomption - Ferme J.A. Lauson, Brownsburg - Ferme céréalière Jocelyn Éthier
Bassin no 2, 14 au 31 octobre 2022, valorisation agricole
Quantité soutirée: 4 925 m3 (1862 TMS), siccité moyenne 37,85%
Lieu: Ferme du Ruisseau Mirabel, Mirabel - Ferme de l'Éclatière S.E.N.C. St-André d"Argenteuil - Fermes Benallan SENC Lachute  - R&amp;R Stichelbout St-Jean-sur-Richilieu - CTTMR   Bécancour - Ferme La Hesbignonne Lachute</t>
  </si>
  <si>
    <t xml:space="preserve">Bassin no 2, du 1er au 8 novembre 2022. Méthode utilisée par dragage. et centrifugeuse Quantité soutirée: 2055 m3 centrifugée (893 TMS), siccité moyenne 43.45% </t>
  </si>
  <si>
    <t>Bassin no 2, 1er au 8 novembre 2022, valorisation agricole
Quantité soutirée: 2055 m3 (893 TMS), siccité moyenne 43,45%
Lieu: Remblayage Solterra inc. 1285, chemin de la Cabane Ronde, Mascouche.</t>
  </si>
  <si>
    <t>Vidange des boues de l'étang 4 par dragage_x000D_
Début : 23 avril 2022_x000D_
Fin : 4 mai 2022_x000D_
Quantité soutirée : 173,49 TMS (Tonnes de matières sèches)_x000D_
Siccité moyenne des boues soutirées : 7,7 %</t>
  </si>
  <si>
    <t>Vidange des boues de l'étang 4 par dragage_x000D_
Début : 23 avril 2022_x000D_
Fin : 4 mai 2022_x000D_
Quantité soutirée : 173,49 TMS (Tonnes de matières sèches)_x000D_
Siccité moyenne des boues évacuées : 21,75 %_x000D_
Méthode de disposition : Épandage_x000D_
Lieu de disposition 1 : Ferme Porcine Alco inc. Lots 5 992 548, 5 992 547 et 5 992 699 à Saint-Janvier-de-Joly_x000D_
Lieu de disposition 2 : Les cultures Boucher inc Lots 5 992 752, 5 992 752-720 et 5 992 720 à Saint-Janvier-de-Joly et lots 4 865 507, 3 838 842, 3 838 815 et 3 838 852 à Saint-Gilles</t>
  </si>
  <si>
    <t>La quantité comptabilisée est basée sur les TMS déclarées par l'exploitant et la siccité de ces boues avant déshydratation (7,7 %), puis ramenée au % de siccité des boues évacuées (21,75 %).</t>
  </si>
  <si>
    <t xml:space="preserve">Vidange des boues de l'étang 4 par dragage_x000D_
Début : 23 avril 2022_x000D_
Fin : 4 mai 2022_x000D_
Quantité soutirée : 173,49 TMS (Tonnes de matières sèches)_x000D_
Siccité moyenne des boues soutirées : 7,7 %_x000D_
_x000D_
Vidange des boues de l'étang 1 par dragage_x000D_
Début : 4 mai 2022_x000D_
Fin : 16 mai 2022_x000D_
Quantité soutirée : 430,99 TMS (Tonnes de matières sèches)_x000D_
Siccité moyenne des boues soutirées : 8,5 %_x000D_
_x000D_
</t>
  </si>
  <si>
    <t xml:space="preserve">Vidange des boues de l'étang 4 par dragage_x000D_
Début : 23 avril 2022_x000D_
Fin : 4 mai 2022_x000D_
Quantité soutirée : 173,49 TMS (Tonnes de matières sèches)_x000D_
Siccité moyenne des boues évacuées : 21,63 %_x000D_
Méthode de disposition : Épandage_x000D_
Lieu de disposition 1 : Ferme Porcine Alco inc. Lots 5 992 548, 5 992 547 et 5 992 699 à Saint-Janvier-de-Joly_x000D_
Lieu de disposition 2 : Les cultures Boucher inc Lots 5 992 752, 5 992 752-720 et 5 992 720 à Saint-Janvier-de-Joly et lots 4 865 507, 3 838 842, 3 838 815 et 3 838 852 à Saint-Gilles_x000D_
Vidange des boues de l'étang 1 par dragage_x000D_
Début : 4 mai 2022_x000D_
Fin : 16 mai 2022_x000D_
Quantité soutirée : 430,99 TMS (Tonnes de matières sèches)_x000D_
Siccité moyenne des boues évacuées : 28,57 %_x000D_
Méthode de disposition : Épandage_x000D_
Lieu de disposition 1 : Ferme Porcine Alco inc. Lots 5 992 548, 5 992 547 et 5 992 699 à Saint-Janvier-de-Joly_x000D_
Lieu de disposition 2 : Les cultures Boucher inc Lots 5 992 752, 5 992 752-720 et 5 992 720 à Saint-Janvier-de-Joly et lots 4 865 507, 3 838 842, 3 838 815 et 3 838 852 à Saint-Gilles_x000D_
</t>
  </si>
  <si>
    <t>La quantité comptabilisée est basée sur les TMS déclarées par l'exploitant et la siccité de ces boues avant déshydratation (8,5 %), puis ramenée au % de siccité des boues évacuées (28,57 %).</t>
  </si>
  <si>
    <t>Ouvrage municipal d'assainissement des eaux usées de Saint-Léonard-d'Aston</t>
  </si>
  <si>
    <t>Saint-Léonard-d'Aston</t>
  </si>
  <si>
    <t>DU 7 AU 20 OCTOBRE 2022, VIDANGE DES BOUES ÉTANGS NO1-NO2-NO3_x000D_
METHODE : Dragage/pompage, dégrillage, centrifugation mécanique et disposition_x000D_
NO1 = 166,83 TMS_x000D_
no2 = 22.71 TMS_x000D_
no3 = 41.48 TMS_x000D_
moyenne siccité 29%</t>
  </si>
  <si>
    <t>Boues déshydratée envoyé pour valorisation agricole_x000D_
7 au 20 octobre 2022, étangs 1-2-3._x000D_
Ferme Becygaud inc 10 925, chemin Leblanc Bécancour = 94,65 TMS_x000D_
Claude Verrier 520 Henri Dunant, Drummondville = 105,03 TMS_x000D_
Jean-Francois Béland 1500, Beaupré, Sainte-Ursule = 31,34 TMS_x000D_
moyenne siccité 29%_x000D_
METHODE : Dragage/pompage, dégrillage, centrifugation mécanique et disposition</t>
  </si>
  <si>
    <t xml:space="preserve">Dans la fosse septique il a sortie 55m³ de boues le 31 octobre 2022 on a enlever 90% des boues_x000D_
par camion vaccum_x000D_
Dans fosse facultatif il a sortie 2m³ de boues le 31 octobre 2022 on a enlever 95% des boues par camion vaccum </t>
  </si>
  <si>
    <t>les boues de la fosse septique on ete diriger a lac etchemin (ste-germaine station) par camion vaccum de 55m³ se qui représente 90% des boues _x000D_
les boues de la fosse facultatif on ete diriger a lac etchemin Ste-germaine station) par camion vaccum de 2 m³ se qui represente 95%des boues</t>
  </si>
  <si>
    <t>Aucune boue comptabilisée puisqu'à notre connaissance, les boues déshydratées au centre de traitement des boues du secteur de La Sation de Lac-Etchemin sont disposées dans les étangs aérés adjacents (situés dans le même secteur).</t>
  </si>
  <si>
    <t>Ouvrage municipal d'assainissement des eaux usées de Saint-Mathieu-du-Parc</t>
  </si>
  <si>
    <t>Saint-Mathieu-du-Parc</t>
  </si>
  <si>
    <t>EBI A VIDANGÉ ET NETTOYÉ LES FOSSES A ET B ET REALISÉ LE NETTOYAGE DE LA STATION DE POMPAGE À L'AFFLUENT DEBUT 27 JUIN 2022. FIN 27 JUIN 2022, 67M3 RETIRÉ PAR FOSSE, 40% SICCITÉ MOYENNE DES BOUES MOYENNE</t>
  </si>
  <si>
    <t>EBI A VIDANGÉ ET NETTOYÉ LES FOSSES A ET B ET REALISÉ LE NETTOYAGE DE LA STATION DE POMPAGE À L'AFFLUENT DEBUT 27 JUIN 2022. FIN 27 JUIN 2022, 67M3 RETIRÉ PAR FOSSE, 40% SICCITÉ MOYENNE DES BOUES MOYENNE.  disposition La Régie de gestion des matières résiduelles de la Mauricie</t>
  </si>
  <si>
    <t xml:space="preserve">épandage  pour valorisation agricole chez ferrme Alain Aubin inc. St-Félix de -valois et SylVain Coulombe St-Édouard-de-maskinongé_x000D_
quantité 146,2 m3 ou 500 tonnes à 32% de siccité._x000D_
Il sa'gissait des boues de l'étang1 et 2 pompé antérieurement dans un géotube demeurer sur place depuis la dernière vidange. _x000D_
Valorisation gerer par Nordikeau </t>
  </si>
  <si>
    <t>nettoyage du bassin des boues sanitaires: en date du 19/07/2022, vacuum 2, 91.67 mètres cubes</t>
  </si>
  <si>
    <t>91.67 mètres cubes</t>
  </si>
  <si>
    <t>Le bassin no.2 cellules 3 et 4 ont été vidanger. le début des travaux était le 19/09/2022 pour se terminé le 20/09/2022.La méthode es le siphonnage par le fond du bassin le nombre de mètre cubes es de 820. La siccité es de 3%.</t>
  </si>
  <si>
    <t xml:space="preserve">L' épandage des boues a eu lieu sur des terres agricoles avoisinante sur la supervision de la firme JMP consultants le nombre de mètres cubes es de 820 sa siccité es de 3%._x000D_
Le début des travaux était le 19/09/2022 pour se terminé le 20/09/2022. Ces travaux ont été réaliser sur le bassin 2 cellules 3 et 4. </t>
  </si>
  <si>
    <t xml:space="preserve">Vidange des bassins 2 et 3. Début le 8 aout, fin le 12 aout. Dragage par excavatrice._x000D_
Vidange de 1220,12 m3 dans le bassin 2 et 702,01 m3 dans le bassin 3. Siccité des boues soutirées: 3,25%._x000D_
_x000D_
</t>
  </si>
  <si>
    <t>Vidange du bassin de stockage des boues par Sani-Echemin. Quantité : 3000 gallons Disposition des boues : CRTB de la MRC des Etchemins</t>
  </si>
  <si>
    <t>Vidange de la fosse septique de 112 mètres cubes par Sani-Etchemins le 30 août. Envoie des boues au Centre de traitement des boues de fosses septiques à Lac-Etchemin.</t>
  </si>
  <si>
    <t>Vidange du bassin de stockage des boues par Sani-Etchemin. 2208 gallons vidangé au centre régional de traitement des boues de St-Joseph.</t>
  </si>
  <si>
    <t>Aucune boue comptabilisée puisqu'elles ont été acheminées à l'ouvrage municipal d'assainissement des eaux usées de Saint-Joseph-de-Beauce.</t>
  </si>
  <si>
    <t xml:space="preserve">Vidangé le 2022/09/29 ,soutiré 14,6 m³ </t>
  </si>
  <si>
    <t>Enercycle St-Étienne des Grès  soutiré 14,6 m³</t>
  </si>
  <si>
    <t>vidange fosse a la station du garage municipal et rue des sommet le 24 aout  et fini le 2 septembre camion vaccum 7 voyage de 3000 gallons.  Donc environ 21 000 Gallons</t>
  </si>
  <si>
    <t>Disposition au CRTB St-Joseph</t>
  </si>
  <si>
    <t>Pompage des boues du traitement primaire le 27 octobre 2022 par camion vacuum. Quantités pompées : fosse septique 53,7 m³ et fosse rétention 26,4 m³.</t>
  </si>
  <si>
    <t>Disposition des boues primaires pompées (80,1 m³) au site de la Régie régionale des matières résiduelles de Portneuf</t>
  </si>
  <si>
    <t>Transfert de boue des réacteur vers l'affluent les 7 et 12 novembre 2022.</t>
  </si>
  <si>
    <t>Aucune boue comptabilisée puisqu'elles ont été acheminées vers l'affluent.</t>
  </si>
  <si>
    <t>Ouvrage municipal d'assainissement des eaux usées de Saint-Urbain</t>
  </si>
  <si>
    <t>Saint-Urbain</t>
  </si>
  <si>
    <t>VIDANGE DE L'ÉTANG 1 DÉBUTÉE LE 26 SEPTEMBRE 2022 ET TERMINÉE LE 27 SEPTEMBRE 2022. LA MÉTHODE PAR TRANSPORT DANS DES CITERNES ET ÉPANDAGE EN TERRAIN AGRICOLE A ÉTÉ UTILISÉ, LA QUANTITÉ SOUTIRÉE EST DE 1080 MÈTRES CUBES ET LES TRAVAUX ONT ÉTÉ EXÉCUTÉ PAR SANI CHARLEVOIX INC. _x000D_
la siccité est d'environ 4,5 % de matière sèche.</t>
  </si>
  <si>
    <t>LA DISPOSITION DES BOUES A ÉTÉ EFFECTUÉE PAR ÉPANDAGE AGRICOLE SELON LES RECOMMANDATIONS DE L'AGRONOME DE SANI-CHARLEVOIX INC. _x000D_
Les lieux d'épandage sont les # de cadastre rénové prévu au projet soit 5719881, 5719882, 5719883, 5719769, 5719892, en fait ça correspond au champ 1Ag, 2AG, 6AG, JMT1 et JMT2. C'est à dire ce qui était prévu dans l'avis de projet.</t>
  </si>
  <si>
    <t>1023,25 tonnes à la valorisation</t>
  </si>
  <si>
    <t>Valorisation 1572 tonnes</t>
  </si>
  <si>
    <t>1371</t>
  </si>
  <si>
    <t>1000 tonne valorisé (Non comptabilisé encore)</t>
  </si>
  <si>
    <t>valorisation 1033</t>
  </si>
  <si>
    <t>986 tonnes valorisées</t>
  </si>
  <si>
    <t>1468 tonnes valorisées</t>
  </si>
  <si>
    <t>1091 tonnes à la valorisation agricole</t>
  </si>
  <si>
    <t>906,35 tonne à la valorisation</t>
  </si>
  <si>
    <t>877,52 tonnes en valorisation</t>
  </si>
  <si>
    <t>Valorisation 670 m3</t>
  </si>
  <si>
    <t>509,6 tonnes de boues à la valorisation</t>
  </si>
  <si>
    <t>Ouvrage municipal d'assainissement des eaux usées de Sept-Îles (ville)</t>
  </si>
  <si>
    <t>Sept-Îles</t>
  </si>
  <si>
    <t>le vidange des boues a eu lieu  dans le bassin #4 du 11/11/2022 au  14 /11/2022 . la méthode utilisée est soutirage par dragage et la quantité soutirée dans le bassin#4 est 76.06000 TMS), La siccité moyenne soutirée est 3.22%</t>
  </si>
  <si>
    <t xml:space="preserve">le soutirage par dragage  a eu lieu  dans le bassin #4 du 11/11/2022 au  14 /11/2022 . la méthode utilisée pour la disposition des  boues sur une plate forme aménagée est le conditionnement et déshydratation des boues par sacs d'assèchement (par voie passive)   et la quantité soutirée dans le bassin#4 est 76.06000 TMS), La siccité moyenne soutirée est 3.22%, </t>
  </si>
  <si>
    <t>Ouvrage municipal d'assainissement des eaux usées de Shawinigan (Grand-Mère)</t>
  </si>
  <si>
    <t>Étang 1, du 23 juillet au 2 août 2022, dragage, dégrillage et centrifugation, quantité soutirée de 1634.14 m3, siccité moyenne de 35.8 %_x000D_
Étang 2 , 15 au 22 juillet 2022, dragage, dégrillage et centrifugation, 851.29 m3 ou TMS 283.48, siccité de 33.3%</t>
  </si>
  <si>
    <t>Étang 1, du 23 juillet au 2 août 2022, dragage, dégrillage et centrifugation, quantité soutirée de 1634.14 m3, siccité moyenne de 35.8 %, valorisation aux champs :_x000D_
Gestion Juno et frères inc., 109 rang de la Rivière Blanche, Saint-Alban_x000D_
Gestion Juno et frères inc., 141 rang St-Georges, St-Ubalde_x000D_
9340-8474 Québec  inc. (Richard Genest), 735 rang St-David, Saint-Thuribe_x000D_
Ferme Lavallière &amp; fils SENC, 107 rang Saint-Georges, Saint-Ubalde_x000D_
Ferme Mayrand et fils Inc., 1095 rang de la Rivière Blanche Ouest, Saint-Casimir_x000D_
_x000D_
Étang 2 , 15 au 22 juillet 2022, dragage, dégrillage et centrifugation, 851.29 m3 ou TMS 283.48, siccité de 33.3%_x000D_
aux mines :_x000D_
Mine Black Lake (Phase 3), 200 Chemin de la Mine, St-Joseph-de-Coleraine</t>
  </si>
  <si>
    <t>Voir au mois d'août pour les boues valorisées entre le 23 juillet et le 2 août.</t>
  </si>
  <si>
    <t>Étang 1, du 23 juillet au 2 août 2022, dragage, dégrillage et centrifugation, quantité soutirée de 1634.14 m3, siccité moyenne de 35.8 %</t>
  </si>
  <si>
    <t xml:space="preserve">Étang 1, du 23 juillet au 2 août 2022, dragage, dégrillage et centrifugation, quantité soutirée de 1634.14 m3, siccité moyenne de 35.8 %, valorisation aux champs :_x000D_
Gestion Juno et frères inc., 109 rang de la Rivière Blanche, Saint-Alban_x000D_
Gestion Juno et frères inc., 141 rang St-Georges, St-Ubalde_x000D_
9340-8474 Québec Inc. (Richard Genest), 735 rang St-David, Saint-Thuribe_x000D_
Ferme Lavallière &amp; fils SENC, 107 rang St-Georges, Saint-Ubalde_x000D_
Ferme Mayrand &amp; fils Inc., 1095 rang de la Rivière Blanche O, Saint-Casimir_x000D_
_x000D_
_x000D_
_x000D_
</t>
  </si>
  <si>
    <t>Ouvrage municipal d'assainissement des eaux usées de Shawinigan-Sud</t>
  </si>
  <si>
    <t>Étang 1, du 9 au 16 août 2022, dragage, dégrillage et centrifugation, quantité soutirée de 608.54 m3, siccité moyenne de 37.3 %</t>
  </si>
  <si>
    <t xml:space="preserve">Étang 1, du 9 au 16 août 2022, dragage, 37.3 % de siccité_x000D_
Quantité soutirée de 166.18 m3 , 3, en enfouissement  au Complexe Enviro Connexions ltée_x000D_
3779, chemin des Quarante-Arpents_x000D_
Terrebonne (Québec) J6V 9T6_x000D_
_x000D_
et de 442.36 m3 en valorisation : _x000D_
Gestion Juno et frères inc., 940 route Rousseau, Notre-Dame-de-Montauban_x000D_
</t>
  </si>
  <si>
    <t xml:space="preserve">Disposition de 1190,8 TM de boue à 38,4% de siccité par la firme Viridis_x000D_
</t>
  </si>
  <si>
    <t xml:space="preserve">Disposition de 1312.1 TM de boue à 43.6% de siccité par la firme Viridis_x000D_
</t>
  </si>
  <si>
    <t xml:space="preserve">Disposition de 1403,7 TM de boue à 43,6% de siccité par la firme Viridis_x000D_
</t>
  </si>
  <si>
    <t xml:space="preserve">Disposition de 1276,1 TM de boue à 42.5% de siccité par la firme Viridis_x000D_
</t>
  </si>
  <si>
    <t>Disposition de 1588.4 TM de boue à 43.2% de siccité par la firme Viridis</t>
  </si>
  <si>
    <t xml:space="preserve">Disposition de 1427.8 TM de boue à 42 % de siccité par la firme Viridis_x000D_
</t>
  </si>
  <si>
    <t xml:space="preserve">Disposition de 1347.3 TM de boue à 41.3 % de siccité par la firme Viridis_x000D_
</t>
  </si>
  <si>
    <t>Disposition de 1138 TM de boue à 40,9% de siccité par la firme Viridis</t>
  </si>
  <si>
    <t>Disposition de 1191,2 TM de boue à 42.2 % de siccité par la firme Viridis</t>
  </si>
  <si>
    <t>Disposition de 1311.7 TM de boue à 37,9% de siccité par la firme Viridis</t>
  </si>
  <si>
    <t>Disposition de 1201,12 TM de boue à 37,5% de siccité par la firme Viridis</t>
  </si>
  <si>
    <t>Disposition de 1449 TM de boue à 37,1% de siccité par la firme Viridis</t>
  </si>
  <si>
    <t>Ouvrage municipal d'assainissement des eaux usées de Sherbrooke (Bromptonville)</t>
  </si>
  <si>
    <t>(voir rapport du mois de novembre 2022)</t>
  </si>
  <si>
    <t>Entre-les 30 octobre et le 10 novembre 2022: vidange des boues des étangs no. 3 (au complet) et no. 1 (partiellement) avec, soutirage des boues par dragage avec déshydratation par centrifugeuse sur site (264 tonnes avec une siccité moyenne de 33.0 %)</t>
  </si>
  <si>
    <t>Élimination des boues utilisées pour le recouvrement des sites denfouissement de Waste Management de Saint-Nicephore et de Sainte-Sophie, soit 264 tonnes avec une siccité moyenne de 33.0 %.</t>
  </si>
  <si>
    <t>Bien que la précision soit manquante, l'ensemble du tonnage a été considéré comme utilisé en recouvrement final et non journalier.</t>
  </si>
  <si>
    <t>Élimination des boues à la station d'épuration de Sherbrooke. Volume total 252 m3 avec une siccité 4.3%.</t>
  </si>
  <si>
    <t>Élimination des boues à la station d'épuration de Sherbrooke. Volume total de 280 m3 avec une siccité de 3.9%.</t>
  </si>
  <si>
    <t>Élimination des boues à la station d'épuration de Sherbrooke, volume total de 290 m3 avec une siccité de 4.9%.</t>
  </si>
  <si>
    <t>Élimination des boues à la station d'épuration de Sherbrooke, volume total 220 m3 avec une siccité de 5.2%.</t>
  </si>
  <si>
    <t>Élimination des boues à la station d'épuration de Sherbrooke. Volume total 240 m3 avec une siccité  de 5,15%.</t>
  </si>
  <si>
    <t xml:space="preserve">Élimination à la station d'épuration de Sherbrooke, volume de 244 m3 et siccité de 4.9% </t>
  </si>
  <si>
    <t>Élimination des boues à la station d'épuration de Sherbrooke. Volume total 224 m3 avec une siccité de 4.2%.</t>
  </si>
  <si>
    <t>Élimination des boues à la station d'épuration  de Sherbrooke Volume total de 250 m3 avec une siccité de 4.5 %.</t>
  </si>
  <si>
    <t>Élimination des boues à la station d'épuration de Sherbrooke. Volume total 224 m3 avec une siccité 4.4%.</t>
  </si>
  <si>
    <t>Élimination des boues à la station d'épuration de la Ville de Sherbrooke. Volume total de 195 m3 d'une siccité de 4.4%</t>
  </si>
  <si>
    <t>Élimination des boues à la station d'épuration de Sherbrooke. Volume total 211 m3 avec une siccité de 4.73 %.</t>
  </si>
  <si>
    <t>Élimination des boues à la station d'épuration de Sherbrooke. Volume total 194 m3 avec une siccité de 4.44%.</t>
  </si>
  <si>
    <t>lLE 17 FEVRIER</t>
  </si>
  <si>
    <t xml:space="preserve">5200 gallons_x000D_
effectués par ENVIRO5_x000D_
</t>
  </si>
  <si>
    <t>vidé le 14 jiuillest 2022 _x000D_
par enviro 5</t>
  </si>
  <si>
    <t xml:space="preserve">4600 gallons </t>
  </si>
  <si>
    <t>Disposition de boues. Épandage,  Ferme Coureur des bois, 159.12 tonne métrique sèche. Du 5 au 6 octobre._x000D_
Disposition de boues liquide. Épandage, Ferme Maroly, 56.1 tonne métrique, siccité 4%, bassin des boues, le 6 décembre.</t>
  </si>
  <si>
    <t>ND (boues octobre)
4 % (boues liquides)</t>
  </si>
  <si>
    <t>La quantité saisie pour le mois d'octobre correspond à la quantité en TMS déclarée par l'exploitant.
Une densité de 1 tonne/m3 a été utilisée pour transposer le volume des boues liquides en tonnage.</t>
  </si>
  <si>
    <t>En cours</t>
  </si>
  <si>
    <t xml:space="preserve">Vidange des bassins 2 et 3 </t>
  </si>
  <si>
    <t>Ouvrage municipal d'assainissement des eaux usées de Taschereau</t>
  </si>
  <si>
    <t>Taschereau</t>
  </si>
  <si>
    <t>debut de la vidange 2022-09-02 fin 2022-09-05_x000D_
moy de siccite 2,2 %_x000D_
38 tonne de soutirée _x000D_
sorti par pompage dans des sac_x000D_
etang aéré sur la principale les 2 bassins</t>
  </si>
  <si>
    <t>bassin 1 date ce début 4 septembre 2022 date de fin 5 septembre méthode utilisée Pompage déshydratation passive quantité soutirée m3 401 siccité moyenne des boues soutirées 1,20 %  Bassin 2 date de début 2 septembre 2022 date de fin 3 septembre 2022 quantité soutirée m3 1198 siccité moyenne des boue soutirées  2,45%</t>
  </si>
  <si>
    <t>Vidange du digesteur 2, une fois par semaine a raison de 20 mètres cube par semaine. Pour un total de 80 mètres, entre le 16-09-2022 et le 14-10-2022. Par camion vaccum. Sicité inconnu.</t>
  </si>
  <si>
    <t>16,7+16,4+17,6+18,9+15,0+17,4=102,0 tonnes de boues déshydratées et enfouies par Viridis Environnement avec une siccité d'environ 14,7%</t>
  </si>
  <si>
    <t>19,6+18,6+18,6+20,2=97,1 tonnes de boues déshydratées et enfouies par Viridis Environnement avec une siccité d'environ 13,8%</t>
  </si>
  <si>
    <t>19,9+22,5+21,3+23,1+19,5+18,9+20,5+19,5+19,6+15,9=200,7 tonnes de boues déshydratées et enfouies par Viridis Environnement avec une siccité d'environ 15,7%</t>
  </si>
  <si>
    <t>12,8 tonnes de boues déshydratées et enfouies par Viridis Environnement avec une siccité d'environ 16%</t>
  </si>
  <si>
    <t>Le tonnage déclaré par l'exploitant semble anormalement bas.  Le tonnage comptabilisé correspond à la moyenne mensuelle des 11 autres mois.</t>
  </si>
  <si>
    <t>15,2+19,9+22,5+23,9=81,6 tonnes de boues déshydratées et enfouies par Viridis Environnement avec une siccité d'environ 18,5%</t>
  </si>
  <si>
    <t>20,7+18,5+20,0+19,8+19,5+21,4+18,9+20,6 = 159,2 tonnes de boues déshydratées et enfouies par Viridis Environnement avec une siccité d'environ 17,4%</t>
  </si>
  <si>
    <t>19,4+20,5+18,6+20,1+19,4+19,6+21,0+21,2=159,7 tonnes de boues déshydratées et enfouies par Viridis Environnement avec une siccité d'environ 16,6%</t>
  </si>
  <si>
    <t>21+21,9+20,5+22+20,6+20,6+21,2+19,5=167,3 tonnes de boues déshydratées et enfouies par Viridis Environnement avec une siccité d'environ 16,4%</t>
  </si>
  <si>
    <t>20,8+21,7+20,5+22,6+20,1+22,3=127,9 tonnes de boues déshydratées et enfouies par Viridis Environnement avec une siccité d'environ 16%</t>
  </si>
  <si>
    <t>19,3+21,7+20,8+21,6+20,1+21,3+17,7+21,3=163,8 tonnes de boues déshydratées et enfouies par Viridis Environnement avec une siccité d'environ 16%</t>
  </si>
  <si>
    <t>18,9+21,2+19,4+21,8+20,2+21,7+19,6+21,3+16+22,9=202,9 tonnes de boues déshydratées et enfouies par Viridis Environnement avec une siccité d'environ 15%</t>
  </si>
  <si>
    <t>20,5+22,4+21,4+23,2+20,5+22,8+20,4+22,9=174,1 tonnes de boues déshydratées et enfouies par Viridis Environnement avec une siccité d'environ 16%</t>
  </si>
  <si>
    <t>La totalité des boues a été disposée aux étangs de SMC</t>
  </si>
  <si>
    <t>Aucune boue comptabilisée puisqu'elles ont été acheminées vers les étangs aérés de Sainte-Marthe-du-Cap.</t>
  </si>
  <si>
    <t>La fosse septique a été vidangée au complet et disposée aux étangs de SMC.</t>
  </si>
  <si>
    <t>Les boues ont été disposées en totalité aux étangs de SMC.</t>
  </si>
  <si>
    <t>Bassin 3B_x000D_
25 mai 2022 - en cours_x000D_
Dragage et déshydratation_x000D_
191.48 Tonnes de matières sèches retirées</t>
  </si>
  <si>
    <t>Valorisation agricole_x000D_
Champs dans un rayon de 50 km des étangs_x000D_
191.48 Tonnes de matières sèches valorisées_x000D_
Bassin 3B_x000D_
25 mai 2022 - en cours_x000D_
Dragage et déshydratation</t>
  </si>
  <si>
    <t>Bien que la siccité des boues ne soit pas précisée, une valeur de 25 % a été considérée sur la base des mois de juillet et août 2022 et des années antérieures.</t>
  </si>
  <si>
    <t>Bassin 3B - dragage et déshydratation durant tout le mois de juin pour un total de 1894 tonnes de matières sèches.</t>
  </si>
  <si>
    <t>Valorisation agricole dans des champs dans un rayon de 50 km autour des étangs aérés.  Toutes les boues soutirées ont été valorisées de cette façon.</t>
  </si>
  <si>
    <t>Étang 3B : durant tout le mois : assèchement du bassin et déshydratation par centrifugeuse : 1313 tonnes de matières sèches soutirées : 25 %</t>
  </si>
  <si>
    <t>Valorisation dans des champs agricoles : rayon de 50 km autour du site de traitement : 1313 TMS : 25 % : étang 3B : tout le mois de juillet : déshydratation par centrifugeuse</t>
  </si>
  <si>
    <t>Étang 3B : fin le 15 août 2022 : assèchement du bassin et déshydratation par centrifugeuse : 840 tonnes de matières sèches soutirées : 25 %</t>
  </si>
  <si>
    <t>Valorisation dans des champs agricoles, dans un rayon de 50 km des étangs aérés, 840 TMS, 25 %, bassin 3B.</t>
  </si>
  <si>
    <t xml:space="preserve">Vidange des boues de la chambre des préfiltres le 9 Juin par camion-vacuum. Près de 4.9 m3 soutirée. Aucune siccité n'a été faite_x000D_
_x000D_
</t>
  </si>
  <si>
    <t>Les boues sont traitées par floculation/décantation avec la méthode du DAB. Les boues ramassées à la sortie ont une siccité moyenne de 17% et sont disposées par valorisation agricole sur différentes fermes. La date de vidage est le 9 Juin dans la chambre des préfiltres. Volume: 4.8m3</t>
  </si>
  <si>
    <t>Ouvrage municipal d'assainissement des eaux usées de Val-des-Sources</t>
  </si>
  <si>
    <t>Nous avons revalorisé 110.4 Tonnes de boues ayant une siccité moyenne de 19.4 % à la mine Jeffrey</t>
  </si>
  <si>
    <t xml:space="preserve">Nous avons revalorisé 73.6 Tonnes de boues ayant une siccité moyenne de 19.42% à la mine Jeffrey. </t>
  </si>
  <si>
    <t>Nous avons revalorisé 101.2 Tonnes de boues à la mine Jeffrey ayant une siccité moyenne de 19.7%</t>
  </si>
  <si>
    <t>Nous avons revalorisé 101.2Tonnes de boues à la mine Jeffrey ayant une siccité moyenne de 19.0%.</t>
  </si>
  <si>
    <t>Nous avons revalorisé 82.8 Tonnes de boues à la mine Jeffrey ayant une siccité moyenne de 21.0%.</t>
  </si>
  <si>
    <t>Nous avons revalorisé 156.4 tonnes de boues à la mine Jeffrey ayant une siccité moyenne de 25.4%.</t>
  </si>
  <si>
    <t>Nous avons revalorisé 99.0 Tonnes de boues à la mine Jeffrey ayant une siccité moyenne de 32.5%.</t>
  </si>
  <si>
    <t>Nous avons revalorisé 167 tonnes de boues à la mine Jeffrey ayant une siccité moyenne de 21.3%.</t>
  </si>
  <si>
    <t>Nous avons revalorisé 154.1 Tonnes de boues à la mine Jeffrey ayant une siccité moyenne de 19.4 %.</t>
  </si>
  <si>
    <t>Nous avons revalorisé 190.6 Tonnes de boues à la mine Jeffrey, ayant une siccité moyenne de 17.6 %</t>
  </si>
  <si>
    <t>Nous avons revalorisé 127.0 Tonnes de boues à la mine Jeffrey ayant une siccité moyenne de 20.8%.</t>
  </si>
  <si>
    <t>Nous avons revalorisé 82.6 tonnes de boues à la mine Jeffrey ayant une siccité moyenne de 17.0%</t>
  </si>
  <si>
    <t xml:space="preserve">156.6 m3 de boues avec une siccité moyenne de 14.2 % ont étés transportés au site de compostage de la MRC de la vallée de l'or par camion benne._x000D_
</t>
  </si>
  <si>
    <t xml:space="preserve">253,3 m3 de boues avec une siccité moyenne de 14,1% ont étés transportés au site de compostage de la MRC de la vallée de l'or par camion benne._x000D_
</t>
  </si>
  <si>
    <t xml:space="preserve">255,4 m3 de boues avec une siccité moyenne de 14,8 % ont étés transportés au site de compostage de la MRC de la vallée de l'or par camion benne._x000D_
</t>
  </si>
  <si>
    <t xml:space="preserve">210,1 m3 de boues avec une siccité moyenne de 15,9% ont étés transportés au site de compostage de la MRC de la vallée de l'or par camion benne._x000D_
</t>
  </si>
  <si>
    <t xml:space="preserve">186,9 m3 de boues avec une siccité moyenne de 15,2 % ont étés transportés au site de compostage de la MRC de la vallée de l'or par camion benne._x000D_
</t>
  </si>
  <si>
    <t xml:space="preserve">277,4 m3 de boues avec une siccité moyenne de 15,5 % ont étés transportés au site de compostage de la MRC de la vallée de l'or par camion benne._x000D_
</t>
  </si>
  <si>
    <t xml:space="preserve">269,8 m3 de boues avec une siccité moyenne de 16,1 % ont étés transportés au site de compostage de la MRC de la vallée de l'or par camion benne._x000D_
</t>
  </si>
  <si>
    <t xml:space="preserve">305,5 m3 de boues avec une siccité moyenne de 16,1 % ont étés transportés au site de compostage de la MRC de la vallée de l'or par camion benne._x000D_
</t>
  </si>
  <si>
    <t xml:space="preserve">241,5 m3 de boues avec une siccité moyenne de 16,3 % ont étés transportés au site de compostage de la MRC de la vallée de l'or par camion benne._x000D_
</t>
  </si>
  <si>
    <t xml:space="preserve">276,2 m3 de boues avec une siccité moyenne de 15,8 % ont étés transportés au site de compostage de la MRC de la vallée de l'or par camion benne._x000D_
</t>
  </si>
  <si>
    <t xml:space="preserve">286.5 m3 de boues avec une siccité moyenne de 15,5 % ont étés transportés au site de compostage de la MRC de la vallée de l'or par camion benne._x000D_
</t>
  </si>
  <si>
    <t xml:space="preserve">181 m3 de boues avec une siccité moyenne de 15,8 % ont étés transportés au site de compostage de la MRC de la vallée de l'or par camion benne._x000D_
</t>
  </si>
  <si>
    <t xml:space="preserve">Vidange du bassin # 3, le 8 février 2022, à l'aide d'un camion vacuum 10 mètre cubes à un siccité moyenne de 1.46%. </t>
  </si>
  <si>
    <t>10 mètre cubes de boues à une siccité moyenne de 1.46% ont été transporté aux lagunes de la MRC de la vallée de l'or le 8 février 2022 avec un camion vacuum.</t>
  </si>
  <si>
    <t>Vidange le 13 mai, volume de 10 mètre cube de boues à une siccité d'environ 1.39% au bassin #3 fosse à boues. Avec un camion vacuum.</t>
  </si>
  <si>
    <t>Vidange le 13 mai, volume de 10 mètre cube de boues à une siccité d'environ 1.39% au bassin #3 fosse à boues. A` l'aide d'un camion vacuum, transporté au lagune de la MRC de la vallée de l'or.</t>
  </si>
  <si>
    <t>le 12 juillet 2022 vidange de la fosses à boues à l'aide d'un camion vacuum, 10 mètres cube à une siccité moyenne de 1.98%.</t>
  </si>
  <si>
    <t xml:space="preserve">le 12 juillet 2022 vidange de la fosses à boues à l'aide d'un camion vacuum, 10 mètres cube à une siccité moyenne de 1.98%. Transporté à la MRC de la Vallée de l'or et disposé dans leur lagune. </t>
  </si>
  <si>
    <t>Vidange du bassin de boues le 8 septembre 2022. 10 mètres cube à une siccité moyenne de 1.06% ont été soutiré du bassin de boues à l'aide d'un camion vacuum.</t>
  </si>
  <si>
    <t>Vidange du bassin de boues le 8 septembre 2022. 10 mètres cube à une siccité moyenne de 1.06% ont été soutiré du bassin de boues à l'aide d'un camion vacuum. Les boues ont été disposées dans les lagunes de la MRC de la vallée de l'or.</t>
  </si>
  <si>
    <t>Le 7 octobre 2022, vidange de 10 mètres cube de boues du bassin #3 de boues à une siccité moyenne de 1.02%. À l'aide d'un camion vacuum.</t>
  </si>
  <si>
    <t>Le 7 octobre 2022, vidange de 10 mètres cube de boues du bassin #3 de boues à une siccité moyenne de 1.02%. À l'aide d'un camion vacuum. Nous avons vidé le bassin et transporté les boues à la MRC de la Vallée de l'Or et disposé des boues dans les lagunes.</t>
  </si>
  <si>
    <t>Vidange du bassin de boues le 5 novembre, 10m3 à une siccité moyenne de 0.9%. Le soutirage des boues à été effectué à l'aide d'un camion vacuum.</t>
  </si>
  <si>
    <t>Vidange du bassin de boues le 5 novembre, 10m3 à une siccité moyenne de 0.9%. Le soutirage des boues a été effectué à l'aide d'un camion vacuum. Transporté à la MRC de la Vallée de l'or et disposé dans les lagunes.</t>
  </si>
  <si>
    <t>Le 21 décembre 2022, vidange de la fosse à boues 10 mètres cube à une siccité moyenne de 1.45%. Le soutirage des boues a été effectué à l'aide d'un camion vacuum.</t>
  </si>
  <si>
    <t>Le 21 décembre 2022, vidange de la fosse à boues 10 mètres cube à une siccité moyenne de 1.45%. Le soutirage des boues a été effectué à l'aide d'un camion vacuum. Les boues ont été transporté à la MRC de la vallée de l'or et disposé dans les lagunes.</t>
  </si>
  <si>
    <t xml:space="preserve">Vidange de 25.5 mètres cube de boues à une siccité de 4.75% à été effectuer le 12 mai 2022 à l'aide d'un camion vacuums à la sortie le bassin #4. </t>
  </si>
  <si>
    <t>Vidange de 25.5 mètres cube de boues à une siccité de 4.75% à été effectuer le 12 mai 2022 à l'aide d'un camion vacuums à la sortie le bassin #4. Disposition à la MRC de la Vallé de l'or dans leur lagune.</t>
  </si>
  <si>
    <t>A l'aide d'un camion vacuum le 29 juin 2022, vidange boues sortie bassin # 4, 50.94 mètre cube à une siccité de 5.05%.</t>
  </si>
  <si>
    <t>A l'aide d'un camion vacuum le 29 juin 2022, vidange boues sortie bassin # 4, 50.94 mètre cube à une siccité de 5.05%. Transporté et disposé au lagune de la MRC de la vallée de l'or.</t>
  </si>
  <si>
    <t>Le 4 novembre 2022, vidange de 40.22 mètres cube à une siccité moyenne de 3.44% ont été faite à l'aide d'un camion vacuum au bassin # 4.</t>
  </si>
  <si>
    <t xml:space="preserve">Le 4 novembre 2022, vidange de 40.22 mètres cube à une siccité moyenne de 3.44% ont été faite à l'aide d'un camion vacuum au bassin # 4. Les boues ont été transporté à la MRC de la Vallée de l'Or et disposé dans les lagunes. </t>
  </si>
  <si>
    <t>Les boues de Vaudreuil-Dorion sont déshydratées par tambours rotatifs et centrifugeuses. Le Tonnage du mois de janvier est de 511,02 tonnes humides à une siccité moyenne de 21,1 % . Les boues sont ensuite valorisées par Andana Services Inc. . Le tonnage du mois a été distribué entre Gilbert Gauthier ,Amas 120, St-Clet ; Francis Leboeuf , Amas 538, salaberry-de-Valleyfield ; Christian Sauvé , Amas 541, St-Télésphore  ; Francis Leboeuf, Amas 612, Les Cèdres ; André rousseau , Amas vip 101 , St-Anicet et Philippe Huot , Amas PH , Mirabel.</t>
  </si>
  <si>
    <t>Les boues de Vaudreuil-Dorion sont déshydratées par tambour rotatif et centrifugeuse . Le total de boues produites en février est de 454,54 tonnes humides à une siccité moyenne de 20,7 % . Les boues sont revalorisée par Andana Services inc. . Les boues ont été cheminées chez les agriculteurs suivant: Gilbert Gauthier , 368 ch. de Ruisseau Nord , St-Clet; Philippe Huot , 10720 Rt. Sir Wilfrid Laurier , Mirabel; Christian Sauvé , 2765 ch. de la Grande-Côte, St-Télésphore et Francis Leboeuf, 540 ch. St-Grégoire, Les Cèdres.</t>
  </si>
  <si>
    <t>Les boues de Vaudreuil-Dorion sont déshydratées par tambour rotatif et centrifugeuse. Les boues sont valorisées par Andana service inc. . Le tonnage du mois de mars est de 524,59 tonnes à une siccité moyenne de 21,1 % . Les boues sont allées pour 186,86 T. chez Christian Sauvé au 2765 ch. de la Grande Côte , St-Télésphore ; 194,73 T. sont allées chez André rousseau , 3375 Mnt. de Cazaville , St-Anicet et 143 T. sont allées chez Philippe Huot , rt. Sir Wilfrid Laurier à Mirabel.</t>
  </si>
  <si>
    <t>Les boues de Vaudreuil-Dorion sont déshydratées par tambour rotatif et centrifugeuse. Le total de boues produites au mois d'avril est de 518,14 tonnes humides à une siccité moyenne de 21,4 %. Les boues sont revalorisées par Andana Services . Les boues ont été valorisées chez André rousseau , 3375 mnt de Cazaville, Saint-Anicet; Chez Michel Myre et chez Philippe Huot, 10720 Rt. Sir Wilfrid Laurier, Mirabel.</t>
  </si>
  <si>
    <t>Les boues de Vaudreuil-Dorion sont déshydratée par tambour rotatif et centrifugeuse. Le tonnage du mois de mai est de 542,34 tonnes humides à une siccité moyenne de 22,2 % . Les boues sont valorisées par Andana Services . Les boues ont été valorisées chez André rousseau, 3375 Mnt. de Cazaville, St-Anicet ; Philippe Huot , 10720 Route Sir Wilfrid laurier, Mirabel ; Bruno Delattre, 2381 Rte Harwood, Vaudreuil-Dorion et Michel Myre.</t>
  </si>
  <si>
    <t>Les boues de Vaudreuil-Dorion sont déshydratée par tambour rotatif et centrifugeuse. Le total de boues produites au mois de juin est de 559,79 tonnes humides à une siccité moyenne de 22,7 % . Les boues sont valorisées par Andana Service environnement . Les boues ont été distribuées chez Michel Myre, 876 Rang du 20 , St-Étienne-de-Beauharnois; Bruno Delattre, 2381 Rte Harwood, Vaudreuil-Dorion et Philippe Huot, 10720 Rte Sir Wilfrid Laurier , Mirabel.</t>
  </si>
  <si>
    <t>Les boues de Vaudreuil-Dorion sont déshydratées par tambour rotatif et centrifugeuse. Le tonnage total du mois de juillet est de 514,36 tonnes humides à une siccité moyenne de 21,1 % . Les boues ont par la suite valorisées par Andana Service environnement .  Les boues ont été valorisées chez Michel Myre, 876 Rang du 20 , Saint-Étienne-de-Beauharnois; Bruno Delattre, 2381 rte. Harwood, Vaudreuil-Dorion; Alain Verstrynge, 223 ch. de la Rivière, Saint-Étienne de Beauharnois; Philippe Huot, 10720 Rt. Sir Wilfrid Laurier, Mirabel et Jean-François Parent, 803 Rang du Dix, Saint-Étienne de Beauharnois.</t>
  </si>
  <si>
    <t xml:space="preserve">Les boues de Vaudreuil-Dorion sont déshydratées par tambour rotatif et centrifugeuse. Le tonnage produit au mois d'août est de 507,20 tonnes de boues humides à une siccité moyenne de 21,2 %. Les boues sont valorisées par Andana Environnement service . Les boues sont allés chez Michel Myre, 876 Rang du 20, Saint-Étienne-de-Beauharnois, QC; Alain Verstrynge, 223 Chem. de la Rivière, Saint-Étienne-de-Beauharnois, QC J0S 1S0 ; Philippe Huot, 10720 Route Sir Wilfrid Laurier, Mirabel, J7N 1K4 et Jean-François Parent, 803 Rang du Dix, Saint-Étienne-de-Beauharnois, QC J0S 1S0._x000D_
_x000D_
_x000D_
_x000D_
</t>
  </si>
  <si>
    <t xml:space="preserve">Les boues sont déshydratées par tambour rotatif et centrifugeuse. Le tonnage total du mois de septembre est de 524,71 tonnes humides à une moyenne de 21,9 % de siccité. Les boues sont valorisées par Andana Environnement Service . Les boues ont été distribuées chez Michel Myre, 876 Rang du 20, Saint-Étienne-de-Beauharnois, QC ; Alain Verstrynge, 223 Chem. de la Rivière, Saint-Étienne-de-Beauharnois ; Philippe Huot, 10720 Route Sir Wilfrid Laurier, Mirabel ; Jean-François Parent, 803 Rang du Dix, Saint-Étienne-de-Beauharnois et Pierrot Gamelin, 1548 Chemin Ste Marie, Saint-Polycarpe._x000D_
_x000D_
_x000D_
</t>
  </si>
  <si>
    <t xml:space="preserve">Les boues de Vaudreuil-Dorion sont déshydratées par tambour rotatif et centrifugeuse. Le total de boues du mois d'octobre est de 504,35 Tonnes humides à une siccité moyenne de 21,8 % . Les boues ont été valorisées par Andana Environnement service. Les boues sont allées chez Michel Myre, 876 Rang du 20, Saint-Étienne-de-Beauharnois, QC ; Alain Verstrynge, 223 Chem. de la Rivière, Saint-Étienne-de-Beauharnois, QC J0S 1S0 ; Philippe Huot, 10720 Route Sir Wilfrid Laurier, Mirabel, J7N 1K4 et Michel Myre,	881 Rang du 20, Saint-Étienne-de-Beauharnois, QC J0S 1S0_x000D_
_x000D_
_x000D_
_x000D_
</t>
  </si>
  <si>
    <t xml:space="preserve">Les boues de Vaudreuil-Dorion sont déshydratées par tambour rotatif et centrifugeuse. Le tonnage total du mois de novembre est de 501,32 tonnes humides à une siccité moyenne de 21,4 % . Les boues ont été valorisées par Andana Service Environnement. Les boues ont été valorisées chez Michel Myre, 876 Rang du 20, Saint-Étienne-de-Beauharnois ; Alain Verstrynge ,223 Chem. de la Rivière, Saint-Étienne-de-Beauharnois ; Philippe Huot, 10720 Route Sir Wilfrid Laurier, Mirabel ; André Rousseau, 2412 Chem. Leahy, Saint-Anicet et Gilbert Gauthier, 645 Route 201, Saint-Lazare._x000D_
"_x000D_
</t>
  </si>
  <si>
    <t xml:space="preserve">Les boues de Vaudreuil-Dorion sont déshydratées par tambour rotatif et centrifugeuse, le boues sont par la suite valorisées par Andana Service Environnement. Le tonnage produit au mois de décembre est de 509,65 tonnes humides à une siccité moyenne de 21,2 %. Les boues sont allés par la suite chez les agriculteurs suivants : Philippe Huot, 10720 Route Sir Wilfrid Laurier, Mirabel, J7N 1K4 et André Rousseau, 2412 Chem. Leahy, Saint-Anicet, QC J0S 1M0_x000D_
_x000D_
</t>
  </si>
  <si>
    <t>1041.67 tm humides en méthanisation et valorisation. Siccité moyenne de 16.37%</t>
  </si>
  <si>
    <t>En raison du manque de précision, le tonnage a été réparti également entre "Compostage" et "Biométhanisation".</t>
  </si>
  <si>
    <t>828.83 tm humides à 15.84% en méthanisation, compostage et valorisation._x000D_
Méthanisation: Coop Carbone à Warwick_x000D_
Compostage et valorisation: Gesterra à St-Rosaire</t>
  </si>
  <si>
    <t>1210.4 tm humides à 16.53% disposées à la méthanisation, en valorisation et compostage._x000D_
Méthanisation: Coop Carbone, ch. Kirouac à Warwick_x000D_
Valorisation et compostage: Gesterra à St-Rosaire.</t>
  </si>
  <si>
    <t>947.44 t.m. humide à 16.29% de siccité envoyées au compostage, valorisation au site de Gesterra à St-Rosaire et en méthanisation chez Coop Carbone.</t>
  </si>
  <si>
    <t>947.44 t.m. à 16.29% disposées en valorisation, compostage et méthanisation (valorisation et compostage - Gesterra à St-Rosaire). Méthanisation chez Coop Carbone à Warwick.</t>
  </si>
  <si>
    <t>1171.86 tm à 17.06% disposées en valorisation, compostage et méthanisation avec Gesterra à St-Rosaire et Coop Carbone à Warwick</t>
  </si>
  <si>
    <t>137.75 tonnes à 17.07% de siccité en valorisation et compostage par Gesterra à St-Rosaire et en méthanisation chez Coop Carbone à Warwick.</t>
  </si>
  <si>
    <t>1137.75 tm. humides à 17.07% en valorisation, compostage et à la méthanisation par Gesterra à St-Rosaire et Coop Carbone à Warwick</t>
  </si>
  <si>
    <t>1122.28 tm humide envoyées en valorisation, méthanisation et compostage. Boues gérées par Gesterra à St-Rosaire.</t>
  </si>
  <si>
    <t>945.91 tm humides à 15.66% de siccité envoyées en valorisation, compostage et/ou en méthanisation. Gérée par Gesterra à St-Rosaire.</t>
  </si>
  <si>
    <t>1047.86 tm à 16.1% de siccité envoyées en méthanisation chez Coop Carbone à Warwick et valorisation/compostage chez Gesterra à St-Rosaire.</t>
  </si>
  <si>
    <t>1073.9 tm à 16.61% de siccité disposées en méthanisation chez Coop Carbone à Warwick, en valorisation avec Gesterra à St-Rosaire.</t>
  </si>
  <si>
    <t>Ouvrage municipal d'assainissement des eaux usées de Warden</t>
  </si>
  <si>
    <t>Warden</t>
  </si>
  <si>
    <t>La vidange des étangs et de la fosse septique débute le 21 Novembre et se termine le 1er Décembre à l'aide de vacuums. Dans l'étang #1: 218.81 m³ sont retirés et envoyés à la Ferme Maroly inc. et 187.94 m³ sont envoyés dans la Fosse #2 chez Mario Vaillancourt. Pour l'étang #2: 315 m³ sont envoyés à Fosse Denis Lebrun et 452.38 m³ sont envoyés à la Ferme Frappier Larochelle inc. De la Fosse septique 58,6 m³ sont envoyés au site de traitement d'eau de Enviro5 à Roxton Pond</t>
  </si>
  <si>
    <t>Les boues ont été envoyées dans des centres de traitement afin d'être déshydratées. Le rapport de disposition ne nous a pas été encore remis nous ajouterons ces données lorsqu'elles seront à notre disposition.</t>
  </si>
  <si>
    <t xml:space="preserve">Bassin # 2, jour de mois (31), Nombre d'heures en fonction (8h), Pompe à boue (machine)_x000D_
</t>
  </si>
  <si>
    <t xml:space="preserve">Bassin # 2, jour de juin 2022 (mettre les date 1-2-3-6-7-8-14-15-16-17-20-21-22-28-29 et 30), Nombre d'heures en fonction (122 h), Pompe à boue (machine)_x000D_
</t>
  </si>
  <si>
    <t xml:space="preserve">Bassin # 2, jour du mois (mettre les date 4-5-6-7-8-11-12-13-14-15-18-19-20-21-22-25-26-27-28 et 29), Nombre d'heures en fonction (150 h15), Pompe à boue (machine)_x000D_
</t>
  </si>
  <si>
    <t xml:space="preserve">Bassin # 2, jour d'août (1-2-3-4-5-9-10-11-12-15-16-17-18-19-22-23-24-25-26-29 et 30), Nombre d'heures en fonction (159 h 45m), Pompe à boue (machine)_x000D_
</t>
  </si>
  <si>
    <t xml:space="preserve">Bassin # 2, jour du mois de septembre 2022 (1er), Nombre d'heures en fonction (8h), Pompe à boue (machine)_x000D_
</t>
  </si>
  <si>
    <t>Étang No1, du 6-07-2022 au 29-07-2022, par draguage. 8922,6 m3 et la siccité moyenne de 2,29%.</t>
  </si>
  <si>
    <t>Lit de séchage, station d'épuration Windsor. 8922,6 m3 évacuée et la siccité moyenne est de 2,29%. Soutirage de la cellule No 1 (étang 1) du 6-07-2022 au 29-07-2022 par draguage.</t>
  </si>
  <si>
    <t>Étang No 1, du 2-08-2022 au 11-08-2022, par draguage 4962 m3 et la siccité moyenne de 2,34%.</t>
  </si>
  <si>
    <t>lit de séchage, station d'épuration Windsor. 4962 m3 évacuée et la siccité moyenne est de 2,34%. Soutirage de la cellule No 1 du 2-08-2022 au 11-08-2022 par draguage.</t>
  </si>
  <si>
    <t>Pompage de 3573 m3 de boues liquide de l'étang PM-1</t>
  </si>
  <si>
    <t>3399 m3 de boues liquide à 3 % siccité</t>
  </si>
  <si>
    <t>Pompage de 1906 m3 de boues liquide à 4 % de siccité</t>
  </si>
  <si>
    <t>Pompage de 1750 m3 de boues liquide à 4 % de siccité</t>
  </si>
  <si>
    <t>Vidange du digesteur les 2-3-4 mars 2022, par camion vaccum_x000D_
Disposition chez CTBM à Roxton Pond._x000D_
Volume évacué de 143 650 Kg_x000D_
Siccité de 5%</t>
  </si>
  <si>
    <t>Vidange du digesteur les 11-12-13 juillet par camion vaccum._x000D_
Disposition par Enviro5_x000D_
Siccité de 4.2_x000D_
Volume évacué de 141 680 Kg</t>
  </si>
  <si>
    <t>Vidange du digesteur le 20 octobre 2022 par camion vaccum, disposition chez Viridis Environnement._x000D_
Quantité évacuée: 159 000 Kg._x000D_
Siccité: 3%</t>
  </si>
  <si>
    <t>Bien que le mode de disposition ne soit pas précisé, les boues ont été considérées recyclées par Viridis Environnement.</t>
  </si>
  <si>
    <t xml:space="preserve">Réacteurs biologiques séquentiels nos 1, 2, 3, et 4 du 1er au 31 Janvier _x000D_
Purge de boues à chaque séquence par pompe à boues vers bassin de stockage de boues_x000D_
Mesures quotidiennes avec un total de 59.6 m3 extrait._x000D_
</t>
  </si>
  <si>
    <t xml:space="preserve">Déshydratation par filtre à bande, centre de transfert Vaudreuil et site d'enfouissement. _x000D_
Quantité soutirée totale : 5.74 tonnes_x000D_
Siccité moyenne: -% _x000D_
Vidange par benne à boues, du 1er au 31 Janvier_x000D_
</t>
  </si>
  <si>
    <t xml:space="preserve">Réacteurs biologiques séquentiels nos 1, 2, 3, et 4 du 1er au 28 février_x000D_
Purge de boues à chaque séquence par pompe à boues vers bassin de stockage de boues _x000D_
Mesures quotidiennes avec un total de 31.6 m3 extrait._x000D_
</t>
  </si>
  <si>
    <t xml:space="preserve">Déshydratation par filtre à bande, centre de transfert Vaudreuil et site d'enfouissement. Quantité soutirée totale : 5.4 tonnes_x000D_
Siccité moyenne: -% _x000D_
Vidange par benne à boues, du 1er au 28 février_x000D_
</t>
  </si>
  <si>
    <t xml:space="preserve">Réacteurs biologiques séquentiels nos 1, 2, 3, et 4 du 1er au 31 mars _x000D_
Purge de boues à chaque séquence par pompe à boues vers bassin de stockage de boues _x000D_
Mesures quotidiennes avec un total de 51.9 m3 extrait._x000D_
</t>
  </si>
  <si>
    <t xml:space="preserve">Déshydratation par filtre à bande, centre de transfert Vaudreuil et site d'enfouissement. Quantité soutirée totale : 6,6 tonnes _x000D_
Siccité moyenne: -% _x000D_
Vidange par benne à boues, du 1er au 31 mars_x000D_
</t>
  </si>
  <si>
    <t xml:space="preserve">Réacteurs biologiques séquentiels nos 1, 2, 3, et 4 du 1er au 30 avril _x000D_
Purge de boues à chaque séquence par pompe à boues vers bassin de stockage de boues _x000D_
Mesures quotidiennes avec un total de 164.3 m3 extrait._x000D_
</t>
  </si>
  <si>
    <t xml:space="preserve">Déshydratation par filtre à bande, centre de transfert Vaudreuil et site d'enfouissement. _x000D_
Quantité soutirée totale :  19.2 tonnes _x000D_
Siccité moyenne: - % _x000D_
Vidange par benne à boues, du 1er au 30 avril_x000D_
</t>
  </si>
  <si>
    <t xml:space="preserve">Réacteurs biologiques séquentiels nos 1, 2, 3, et 4 du 1er au 31 mai_x000D_
Purge de boues à chaque séquence par pompe à boues vers bassin de stockage de boues _x000D_
Mesures quotidiennes avec un total de 120.8 m3 extrait._x000D_
</t>
  </si>
  <si>
    <t xml:space="preserve">Réacteurs biologiques séquentiels nos 1, 2, 3, et 4 du 1er au 30 Juin_x000D_
Purge de boues à chaque séquence par pompe à boues vers bassin de stockage de boues _x000D_
Mesures quotidiennes avec un total de 132.7 m3 extrait._x000D_
</t>
  </si>
  <si>
    <t xml:space="preserve">Déshydratation par filtre à bande, centre de transfert Vaudreuil et site d'enfouissement. _x000D_
Quantité soutirée totale : 7,1 tonnes _x000D_
Siccité moyenne: - % _x000D_
Vidange par benne à boues, du 1er au 30 Juin_x000D_
</t>
  </si>
  <si>
    <t>Réacteurs biologiques séquentiels nos 1, 2, 3, et 4 du 1er au 31 Juillet Purge de boues à chaque séquence par pompe à boues vers bassin de stockage de boues Mesures quotidiennes avec un total de 130.9 m3 extrait.</t>
  </si>
  <si>
    <t xml:space="preserve">Déshydratation par filtre à bande, centre de transfert Vaudreuil et site d'enfouissement. Quantité soutirée totale : 6.7 tonnes. Vidange par benne à boues, du 1er au 31 Juillet 2022._x000D_
</t>
  </si>
  <si>
    <t>Réacteurs biologiques séquentiels nos 1, 2, 3, et 4 du 1er au 31 Août 2022. Purge de boues à chaque séquence par pompe à boues vers bassin de stockage de boues Mesures quotidiennes avec un total de 69.6 m3 extrait.</t>
  </si>
  <si>
    <t>Déshydratation par filtre à bande, centre de transfert Vaudreuil et site d'enfouissement. Quantité soutirée totale : 6.46 tonnes. Vidange par benne à boues, du 1er au 31 Août 2022.</t>
  </si>
  <si>
    <t>Réacteurs biologiques séquentiels nos 1, 2, 3, et 4 du 1er au 30 Septembre 2022. Purge de boues à chaque séquence par pompe à boues vers bassin de stockage de_x000D_
boues Mesures quotidiennes avec un total de 147.1 m3 extrait.</t>
  </si>
  <si>
    <t xml:space="preserve">Déshydratation par filtre à bande, centre de transfert Vaudreuil et site d'enfouissement. Quantité soutirée totale : 7.01 tonnes. Vidange par benne à boues, du_x000D_
1er au 30 Septembre 2022._x000D_
</t>
  </si>
  <si>
    <t>Réacteurs biologiques séquentiels nos 1, 2, 3, et 4 du 1er au 31 Octobre 2022. Purge de boues à chaque séquence par pompe à boues vers bassin de_x000D_
stockage de boues. Mesures quotidiennes avec un total de 143 m3 extrait.</t>
  </si>
  <si>
    <t xml:space="preserve">Déshydratation par filtre à bande, centre de transfert Vaudreuil et site d'enfouissement. Quantité soutirée totale : 6.97 tonnes. Vidange par benne à boues, du_x000D_
1er au 31 Octobre 2022._x000D_
</t>
  </si>
  <si>
    <t xml:space="preserve">Réacteurs biologiques séquentiels nos 1, 2, 3, et 4 du 1er au 30 Novembre 2022. Purge de boues à chaque séquence par pompe à boues vers bassin de_x000D_
stockage de boues. Mesures quotidiennes avec un total de 158.25 m3 extrait._x000D_
</t>
  </si>
  <si>
    <t>Déshydratation par filtre à bande, centre de transfert Vaudreuil et site d'enfouissement. Quantité soutirée totale : 7.22 tonnes. Vidange par benne à boues, du_x000D_
1er au 30 Novembre 2022.</t>
  </si>
  <si>
    <t>--</t>
  </si>
  <si>
    <t>D'après le bilan final de SOLINOV sur les sites de valorisation des biosolides des étangs d'Upton des sacs filtrants 2019-1 et 2 et 2020-1 et 2 , deux périodes d'évacuation des boues ont eu lieu : en mai et en août 2022 mais sans plus de précision. _x000D_
Le site #1 situé au Rang 9, Val-Joli a été livré par 151 m3 de boues solides des sacs de 2020 (pas de siccité)._x000D_
Le site #2 situé au Rang 12, Durham-Sud a été livré par 207 m3 de boues solides des sacs de 2019 et de 2020 (pas de siccité)._x000D_
Les sites #3 et #4 situés Rang 9, Saint-Claude et Chemin de la Longue Pointe, Saint-Nicéphore ont été livrés par 739 m3 de boues solides des sacs de 2019 et de 2020 (pas de siccité)._x000D_
Au total, 1 097 m3 de boues solides ont été évacuées de l'usine d'épuration.</t>
  </si>
  <si>
    <t>Ouvrage municipal d'assainissement des eaux usées Laurierville (Labrie)</t>
  </si>
  <si>
    <t>Laurierville</t>
  </si>
  <si>
    <t>La municipalité procède à la vidange de la fosse septique commune une fois par année, laquelle s'est effectuée le 10 novembre 2022. La fosse septique est vidée au complet, soit 38,8 mètres cubes.</t>
  </si>
  <si>
    <t>Les boues sont transportées par Protecto-Sol chez Services Sanitaires Denis Fortier à Thetford Mines. Quantité 38.8 m³. Début et fin de la vidange le 10 novembre 2022.</t>
  </si>
  <si>
    <t>Les boues acheminées dans les géotubes (106 TMS)  n'on pas été considérées puisqu'elles seront disposées ultérieurement.</t>
  </si>
  <si>
    <t>Disposition de boues prise en compte sous "Ouvrage municipal d'assainissement des eaux usées d'Asbestos".</t>
  </si>
  <si>
    <t>Disposition de boues prise en compte sous "Ouvrage municipal d'assainissement des eaux usées de Val-d'Or".</t>
  </si>
  <si>
    <t>Quantité (tonnes)
Élimination</t>
  </si>
  <si>
    <t>Quantité (tonnes)
Mode de disposition non précisé</t>
  </si>
  <si>
    <t>Transport et disposition: Englobe, Les Composts du Québec inc._x000D_
Quantité: 101.8 t.m._x000D_
Siccité: 33.1%</t>
  </si>
  <si>
    <t>Transport et disposition: Englobe, Les Composts du Québec inc._x000D_
Siccité: 31.1%_x000D_
Quantité: 109.8 t.m.</t>
  </si>
  <si>
    <t>Transport et disposition: Englobe et Les Composts du Québec inc._x000D_
Siccité: 32.9%_x000D_
Quantité: 114.01 t.m.</t>
  </si>
  <si>
    <t>Transport et disposition: Englobe, Les Composts du Québec inc._x000D_
Siccité: 34.9%_x000D_
Quantité: 103.23 t.m.</t>
  </si>
  <si>
    <t>Transport et disposition: Englobe, Les Composts du Québec inc._x000D_
Siccité: 32.1%_x000D_
Quantité: 129.24 t.m.</t>
  </si>
  <si>
    <t>Transport et disposition: Englobe, Les Composts du Québec inc._x000D_
Quantité: 113.98 t.m._x000D_
Siccité: 33.8%</t>
  </si>
  <si>
    <t>Transport et disposition: Englobe, Les Composts du Québec inc._x000D_
Siccité: 32.5%_x000D_
Quantité: 108.9 t.m.</t>
  </si>
  <si>
    <t>Transport et disposition: Englobe, Les Composts du Québec_x000D_
Siccité: 32.7%_x000D_
Quantité: 129.28 t.m.</t>
  </si>
  <si>
    <t>Transport et disposition: Englobe, Les Composts du Québec inc._x000D_
Quantité: 105.84 t.m._x000D_
Siccité: 31.2%</t>
  </si>
  <si>
    <t>Transport et disposition: Englobe, Les Composts du Québec inc._x000D_
Quantité : 128 t.m._x000D_
Siccité : 32.2%</t>
  </si>
  <si>
    <t>Transport et disposition: Englobe, Les Composts du Québec inc._x000D_
Quantité: 108.54 t.m._x000D_
Siccité: 32.1%</t>
  </si>
  <si>
    <t>Transport et disposition: Englobe, Les Composts du Québec inc._x000D_
Quantité: 96.74 t.m._x000D_
Siccité: 33.6%</t>
  </si>
  <si>
    <t>Déshydratation des boues par pressoir rotatif dont la siccité moyenne est de 23% Transport par camion vers les champs (valorisation) 233.7 T.M.</t>
  </si>
  <si>
    <t>Déshydratation des boues digérées par pressoir rotatif dont la siccité moyenne est de 23% Transport par camion vers les champs (valorisation) 157.28 T.M. et Déshydratation des boues physico-chimique par pressoir rotatif dont la siccité moyenne est de 31% Transport par camion vers les champs (valorisation) 97.52 T.M. Pour un total de 254.8 T.M.</t>
  </si>
  <si>
    <t>Déshydratation des boues digérées par pressoir rotatif dont la siccité moyenne est de 23% Transport par camion vers les champs (valorisation) 261.62 T.M. et Déshydratation des boues physico chimique par pressoir rotatif dont la siccité moyenne est de 31% Transport par camion vers les champs (valorisation) 95.28 T.M. Pour un total de 356.9 T.M.</t>
  </si>
  <si>
    <t>Déshydratation des boues physico chimique par pressoir rotatif dont la siccité moyenne est de 31% Transport par camion vers les champs (valorisation) 97.52 T.M. Pour un total de 427.49 T.M.</t>
  </si>
  <si>
    <t xml:space="preserve">Déshydratation des boues physico chimique par pressoir rotatif dont la siccité moyenne est de 31% Transport par camion vers les champs (valorisation) 721.79 T.M. </t>
  </si>
  <si>
    <t xml:space="preserve">Déshydratation des boues physico chimique et vidange du digesteur 1, par pressoir rotatif dont la siccité moyenne est de 28% Transport par camion vers les champs (valorisation) 899.32 T.M. _x000D_
</t>
  </si>
  <si>
    <t xml:space="preserve">Déshydratation des boues physico chimique par pressoir rotatif dont la siccité moyenne est de 31% Transport par camion vers les champs (valorisation) 591.14  T.M. </t>
  </si>
  <si>
    <t xml:space="preserve">Déshydratation des boues physico chimique par pressoir rotatif dont la siccité moyenne est de 33% Transport par camion vers les champs (valorisation) 496.13 T.M. </t>
  </si>
  <si>
    <t>Déshydratation des boues physico chimique par pressoir rotatif dont la siccité moyenne est de 33% Transport par camion vers les champs (valorisation) 507.44 T.M.</t>
  </si>
  <si>
    <t xml:space="preserve">Déshydratation des boues physico chimique par pressoir rotatif dont la siccité moyenne est de 33% Transport par camion vers les champs (valorisation) 490.97 T.M. </t>
  </si>
  <si>
    <t xml:space="preserve">Déshydratation des boues physico chimique par pressoir rotatif dont la siccité moyenne est de 34% Transport par camion vers les champs (valorisation) 570.10 T.M. </t>
  </si>
  <si>
    <t xml:space="preserve">Déshydratation des boues physico chimique par pressoir rotatif dont la siccité moyenne est de 34% Transport par camion vers les champs (valorisation) 465.49 T.M. </t>
  </si>
  <si>
    <t>Pour le mois de Janvier, nous avons disposée de la boue 5 fois par semaine._x000D_
La siccité moyenne a été de 17%. Nous avons disposé 1849.45 Tonnes de boue en revalorisation agricole et 113.91 tonnes sur site minier._x000D_
Pour un total de boue de 1963.36 Tonnes.</t>
  </si>
  <si>
    <t>Pour le mois de Février, nous avons disposée de la boue en moyenne 5 fois par semaine. La siccité moyenne est de 17.4%_x000D_
Nous avons disposée 367.97 Tonnes de boue sur site minier et 1405.10 Tonnes de boues en revalorisation agricole._x000D_
Pour un total de 1773.07 tonnes de boues.</t>
  </si>
  <si>
    <t>Pour le mois de mars, nous avons disposée de la boue 5 fois par semaine. La siccité moyenne est de 17.5%_x000D_
Nous avons disposée 850.90 Tonnes de boues en revalorisation agricole et 696.68 Tonnes sur des sites minier.</t>
  </si>
  <si>
    <t>Pour le mois d'avril nous avons disposée de la boue 5 fois par semaine. La siccité moyenne de la boue est de 18.5 %_x000D_
Nous avons disposée 806.64 tonnes en revalorisation agricole et 587.19 tonnes sur site minier. Pour un total de 1393.83 tonnes de boue.</t>
  </si>
  <si>
    <t>Pour le mois de Mai. nous avons disposée de la boue en moyenne 5 fois par semaine. La siccité moyenne à été de 19.3%_x000D_
Nous avons disposée 1776.3 Tonnes de boue en revalorisation agricole et 308.16 Tonnes sur des sites minier. Pour un total de 2084.46 Tonnes.</t>
  </si>
  <si>
    <t>Pour le mois de Juin, nous avons disposée de la boue 5 fois par semaine. La siccité moyenne de la boue est de 20.6%_x000D_
Nous avons disposé un total de 1693.23 Tonnes en revalorisation agricole.</t>
  </si>
  <si>
    <t>Pour le mois de juillet, nous avons disposée de la boue en moyenne 5 fois par semaine._x000D_
La siccité moyenne est de 20.4%_x000D_
Un total de 1890.76 Tonne de boue en revalorisation agricole.</t>
  </si>
  <si>
    <t>Pour le mois d'août, nous avons disposée de la boue en moyenne 5  fois par semaine._x000D_
La siccité moyenne est de 19.1% et nous avons disposé un total de 1706.22 Tonnes de boue en revalorisation agricole.</t>
  </si>
  <si>
    <t>Pour le mois de Septembre, nous avons disposée de la boue en moyenne 5 jours par semaine._x000D_
La siccité moyenne est de 18.9%_x000D_
1252.23 Tonnes de boue en revalorisation agricole et 284.23 Tonnes sur des sites minier. Pour un total de 1536.46 Tonne de boue disposée.</t>
  </si>
  <si>
    <t>Pour le mois d'octobre, nous avons disposée de la boue 5 fois semaine. La siccité moyenne à été de 19.0%_x000D_
Nous avons disposé  1766.78 Tonnes en revalorisation agricole et 30.8 Tonnes sur des sites minier. Pour un total de 1797.58 Tonnes de boue disposée.</t>
  </si>
  <si>
    <t>Pour le mois de novembre, nous avons disposée de la boue en moyenne 5 fois par semaine._x000D_
La siccité moyenne à été de 19.1%_x000D_
Nous avons disposée 565.18 tonnes en revalorisation agricole, 604.95 tonnes sur des sites minier et 567.25 tonnes aux sites d'enfouissement._x000D_
Pour un total de 1737.38 Tonnes de boue disposée.</t>
  </si>
  <si>
    <t>Pour le mois de Décembre, nous avons disposée de la boue en moyenne 5 fois par semaine._x000D_
La siccité moyenne de la boue est de 18.7%_x000D_
Nous avons disposé 1018.96 Tonnes de boue en revalorisation agricole et 488.14 Tonnes sur site d'enfouissement._x000D_
Pour un total de 1507.10 Tonnes de boue disposée.</t>
  </si>
  <si>
    <t>Étangs aérés avec bassin complètement mélangé et réacteur biologique à garnissage en suspension</t>
  </si>
  <si>
    <t xml:space="preserve">Disposition des boues en géotubes soutirée de l'étang #3 en 2022_x000D_
Épandage agricole_x000D_
1623 Chemin Saint-Henri, Mascouche, QC J7K 2N5_x000D_
1587 Avenue St Jean, Mascouche, QC J7K 3A7_x000D_
439.91 TM à 24.86% de siccité_x000D_
</t>
  </si>
  <si>
    <t>Une vidange de 659TMS  dans le bassin 2. La vidange a été réalisée du 19 octobre au 2 novembre 2023 par centrifugation. La siccité des boues extraites est estimée à environ 4%</t>
  </si>
  <si>
    <t>Une vidange de 659TMS dans le bassin 2 à 18.33% . La vidange a été réalisée du 19 octobre au 2 novembre 2023 par centrifugation mécanique. La siccité des boues disposées en valorisation sur les lots 5 474 267 et 5 474 268 à l'adresse 1285, chemin de la Cane Ronde à Mascouche (Solterra)</t>
  </si>
  <si>
    <t xml:space="preserve">Les tonnes de matières sèches (TMS) ont été ramenées à 18,3 % de siccité. </t>
  </si>
  <si>
    <t xml:space="preserve">Une vidange de 582TMS a été réalisée, soit 69TMS à 19.36% dans le bassin 3 et 513TMS dans le bassin 4. La vidange a été réalisée du 1er au 16 novembre 2023 par centrifugation </t>
  </si>
  <si>
    <t>Une vidange de 582TMS a été réalisée, soit 69TMS dans le bassin 3 et 513TMS  à 32,5% dans le bassin 4. La vidange a été réalisée du 1er au 16 novembre 2023 par centrifugation mécanique. La siccité des boues  disposées  en valorisation sur les lots 5 474 267 et 5 474 268 à l'adresse 1285, chemin de la Cane Ronde à Mascouche (Solterra)</t>
  </si>
  <si>
    <t>Vidanges des boues réalisées par drainage puis centrifugation avant épandage.</t>
  </si>
  <si>
    <t>Vidange des boues des étangs 2 et 3.</t>
  </si>
  <si>
    <t>Disposition par enfouissement au site d'enviro connexion a Terrebonne._x000D_
2196 m3 de boues évacuées avec une siccité moyenne de 19.5%_x000D_
Boues digérées par 2 digesteurs anaérobiques du 1er au 31 janvier 2023 et boues épaissies par centrifugation.</t>
  </si>
  <si>
    <t>Disposition par enfouissement au site d'enviro connexion a Terrebonne._x000D_
1769 m3 de boues évacuées , siccité moyenne de 19.66%_x000D_
Boues digérées par 2 digesteurs anaérobiques du 1er au 28 février 2023._x000D_
Boues épaissies par centrifugation.</t>
  </si>
  <si>
    <t>Boues enfouies au site d'enviro connexion a Terrebonne _x000D_
2100 m3 de boues évacuées avec une siccité moyenne de 20.3%_x000D_
Boues digérées par 2 digesteurs anaérobiques du 1er au 31 mars 2023_x000D_
Boues épaissies par centrifugation</t>
  </si>
  <si>
    <t xml:space="preserve">1630 m3 de boues enfouies au site d'enviro connexion avec une siccité moyenne de 23.85%_x000D_
Boues digérées par 2 digesteurs anaérobiques du 1er au 30 avril 2023._x000D_
Boues épaissies par centrifugation._x000D_
</t>
  </si>
  <si>
    <t xml:space="preserve">Boue disposée par enfouissement au site d'enviro connexion , 1820 m3 de boues évacuées avec une siccité moyenne de 22%_x000D_
Boues digérées par 2 digesteurs anaérobiques du 1er au 31 mai 2023_x000D_
Boues épaissies par centrifugation  </t>
  </si>
  <si>
    <t>Boues disposées par enfouissement au site d'enviro connexion a Terrebonne._x000D_
1843 m3 de boues evacuées avec une siccité moyenne de 21.95%_x000D_
Boues digérées par 2 digesteurs anaérobiques du 1er au 30 juin 2023_x000D_
Boues épaissies par centrifugation</t>
  </si>
  <si>
    <t>Disposition par enfouissement au site d'enviro connexion _x000D_
1783 m3 de boues deshydratées avec une siccité moyenne de 22%_x000D_
boues digérées par 2 digesteurs anaérobies du 1er au 31 juillet 2023_x000D_
Boues épaissies par centrifugation</t>
  </si>
  <si>
    <t>Disposition par enfouissement au site d'enviro connexion _x000D_
2157 m3 de boues évacuée avec une siccité moyenne de 20.9%_x000D_
Boues digérées par 2 digesteurs anaérobiques du 1er au 31 aout 2023_x000D_
Boues épaissies par centrifugation</t>
  </si>
  <si>
    <t xml:space="preserve">Disposition par enfouissement au site d'enviro connexion_x000D_
1822 m3 de boue évacuées avec une siccité moyenne de 20.77%_x000D_
Boues digérées par 2 digesteurs anaérobiques du 1er au 30 septembre 2023_x000D_
Boues épaissies par centrifugation </t>
  </si>
  <si>
    <t>Disposition des boues au site d'enviro connexion  1766 m3 de boues évacuées _x000D_
Siccité moyenne de 21.6% Boues digérées par 2 digesteurs anaérobies du 1er au 31 octobre 2023_x000D_
Boues épaissies par centrifugation</t>
  </si>
  <si>
    <t>Disposition par enfouissement au site d'enviro connexion , 2018 m3 de boues évacuées avec une siccité moyenne de 20%_x000D_
Boues digérées par 2 digesteurs anaérobiques du 1er au 30 novembre 2023_x000D_
Boues épaissies par centrifugation</t>
  </si>
  <si>
    <t>Boue disposée au site d'enviro connexion par enfouissement._x000D_
1958 m3 de boues évacuées avec une siccité moyenne de 19%_x000D_
Boues digérées par 2 digesteurs anaérobiques du 1er au 31 décembre 2023</t>
  </si>
  <si>
    <t xml:space="preserve">le 27 septembre 2023 vidange de la fosse primaire de 45 mètres cube par camion vacuum au site de traitement de Sainte-Cécile-de Whitton Village  </t>
  </si>
  <si>
    <t>318.3 tonnes métriques de boue à 18.7% de siccité. Valorisation des boues par Viridis environnement. Envoyé chez Mine de Black Lake.</t>
  </si>
  <si>
    <t>298.4 tonnes métriques de boue à 18.9% de siccité. Valorisation des boues par Viridis environnement. Envoyé chez Mine de Black Lake et ferme Guillaume Paradis.</t>
  </si>
  <si>
    <t>336.5 tonnes métriques de boue à 18.9% de siccité. Valorisation des boues par Viridis environnement. Envoyé à la Mine de Black Lake .</t>
  </si>
  <si>
    <t>301.8 tonnes métriques de boue à 19% de siccité. Valorisation des boues par Viridis environnement. Envoyé à la Mine de Black Lake .</t>
  </si>
  <si>
    <t>323 tonnes métriques de boue à 19% de siccité. Valorisation des boues par Viridis environnement. Envoyé à la Mine de Black Lake, Ferme Jacklène Lac-Etchemin.</t>
  </si>
  <si>
    <t>347 tonnes métriques de boue à 18.1% de siccité. Valorisation des boues par Viridis environnement. Envoyé à la Mine de Black Lake, Ferme Jacklène Lac-Etchemin, Fosse Annaud, située à St-Pierre-Baptiste, site de M. André Roy à St-Benoît-Labre (champ#5) et Fosse Troyblay située à Inverness.</t>
  </si>
  <si>
    <t>367 tonnes métriques de boue à 19.1% de siccité. Valorisation des boues par Viridis environnement. Envoyé à la Mine de Black Lake, le site de M. Alexandre Martineau (Ch#LL3), situé à St-Adrien dIrlande et Fosse Troyblay située à Inverness.</t>
  </si>
  <si>
    <t>332 tonnes métriques de boue à 18.8% de siccité. Valorisation des boues par Viridis environnement. Envoyé à la Mine de Black Lake et Troyblay située à Inverness.</t>
  </si>
  <si>
    <t>306 tonnes métriques de boue à 18.9% de siccité. Valorisation des boues par Viridis environnement. Envoyé à la Mine de Black Lake, Ferme Jacklène Lac-Etchemin, Fosse Annaud à St-Pierre-Baptiste, M. Alexandre Roy (ch#201), situé à St-Martin, Ferme Clément Lemieux, situé à St-Gervais et Troyblay située à Inverness.</t>
  </si>
  <si>
    <t>297.3 tonnes métriques de boue à 18.4% de siccité. Valorisation des boues par Viridis environnement. Envoyé à la  Ferme Jacklène Lac-Etchemin,  M. Alexandre Roy (ch#201), situé à St-Martin, Ferme Clément Lemieux, situé à St-Gervais et Troyblay située à Inverness.</t>
  </si>
  <si>
    <t>279,7 tonnes métriques de boue à 18.4% de siccité. Valorisation des boues par Viridis environnement. Envoyé à la Mine de Black Lakes (phase3), Ferme Clément Lemieux situé à St-Gervais et Troyblay située à Inverness.</t>
  </si>
  <si>
    <t>318.8 tonnes métriques de boue à 18.8% de siccité. Valorisation des boues par Viridis environnement. Envoyé à la Mine de Black Lakes (phase3).</t>
  </si>
  <si>
    <t>320 litres de rebus par mois.</t>
  </si>
  <si>
    <t>Ouvrage municipal d'assainissement des eaux usées d'Acton Vale</t>
  </si>
  <si>
    <t>Acton Vale</t>
  </si>
  <si>
    <t>Début de la vidange de l'étang 3 vers un lit de séchage le 01 mai avec notre drague, volume pompé inconnu.</t>
  </si>
  <si>
    <t>Des boues on été draguées de l'étang 3 durant tout le mois et disposé dans notre bassin de séchage, volume extrait inconnu.</t>
  </si>
  <si>
    <t>Des boues on été draguées de l'étang 3 vers un lit de séchage, volume extrait inconnu.</t>
  </si>
  <si>
    <t>Vidange des boues partiel dans l'étang 3 par draguage vers un lit de séchage, volume extrait inconnu.</t>
  </si>
  <si>
    <t>Vidange des boues partiels de l'étang 3 vers un lit de séchage avec une drague, volume pompé inconnu.</t>
  </si>
  <si>
    <t>Vidange partiel de l'étang 3 vers un lit de séchage grace a une drague</t>
  </si>
  <si>
    <t>Il y a eu une vidange des boues du bassin #2 dans le bassin #3 pour être capable d'effectuer les travaux prévus. Les mesures de boues ont été faites par la suite.</t>
  </si>
  <si>
    <t xml:space="preserve">Valorisation agricole, Ferme Jérélie. Boues dans des géobags issues des précédentes vidanges. Boues des étangs 1, 2 et 3. </t>
  </si>
  <si>
    <t xml:space="preserve">disposition de boue de dégrilleur :  1.5 m3 recupurée par l'entreprise LAUZON équipements </t>
  </si>
  <si>
    <t xml:space="preserve">disposition de 2 m3 de boue de dégrilleur   le 28 aout , la boue est récupérée par l'entreprise lauzon équipements </t>
  </si>
  <si>
    <t>vidange de la fosses a boues et du décanteur (12000G)_x000D_
boues vider sur le site englobe a Bury en estrie</t>
  </si>
  <si>
    <t>Vacuum fosses a boues(7500G) et du décanteur secondaire (2500 G)_x000D_
37M3_x000D_
( 21 novembre )_x000D_
siccité de 3%_x000D_
envoyé station épuration Coaticook</t>
  </si>
  <si>
    <t>Aucune boue comptabilisée puisqu'elles ont été acheminées à l'ouvrage municipal d'assainissement des eaux usées de Coaticook.</t>
  </si>
  <si>
    <t>Filtre a Bande_x000D_
Barnston_x000D_
4 Jan 5.6tm 15.4%_x000D_
11 Jan 5.7tm 15.4%_x000D_
20 Jan 5.5tm 15.1%</t>
  </si>
  <si>
    <t>Barnston_x000D_
Filtre a Bande_x000D_
2 Feb. 5.6tm 15.5%_x000D_
10 Feb. 5.8tm 15.6%_x000D_
16 Feb. 5.5tm 15.6%_x000D_
28 Feb. 5.9tm 15.1%</t>
  </si>
  <si>
    <t>Barnston_x000D_
Filtre a bande_x000D_
6 Mars 5.5tm 15.4%_x000D_
15 Mars 5.6tm 15.3%_x000D_
21 Mars 5.5tm 15.6%_x000D_
24 Mars 5.8tm 15.6%_x000D_
31 Mars 5.7tm 15.1%</t>
  </si>
  <si>
    <t>Barnston_x000D_
Filtre a bande_x000D_
7 Avril 5tm 15.2%_x000D_
20 Avril 5.7tm 15.3%_x000D_
26 Avril 5.5tm 15.8%</t>
  </si>
  <si>
    <t>Filtre a bande_x000D_
Barnston_x000D_
15 Mai 5.7tm 15.3%_x000D_
23 Mai 5.8tm 15.7%_x000D_
31 Mai 5.6tm 15.6%</t>
  </si>
  <si>
    <t>Barnston_x000D_
Filtre a Bande_x000D_
7 Juillet 5.7tm 15.4%_x000D_
13 Juillet 5.7tm 15.4%_x000D_
26 Juillet 5.8tm 15.8%</t>
  </si>
  <si>
    <t xml:space="preserve">Filtre a Bande_x000D_
Barnston_x000D_
6 Juillet 5.8tm 15.6%_x000D_
27 Juillet 6tm 15.2%_x000D_
</t>
  </si>
  <si>
    <t>Barnston_x000D_
Filtre A Bande_x000D_
18 Aout 5.7tm 15.5%_x000D_
21 Aout 5.7tm 15.7%_x000D_
29 Aout 5.9tm 15.3%</t>
  </si>
  <si>
    <t>Barnston_x000D_
Filtre a bande_x000D_
9 Sept 6tm 15.1%</t>
  </si>
  <si>
    <t>Barnston Filtre a Bande_x000D_
5 Oct 5.6tm 15.7%_x000D_
12 Oct 5.4tm 15.4%_x000D_
26 Oct 5.5tm 15.5%_x000D_
31 Oct 5.2tm 15%</t>
  </si>
  <si>
    <t xml:space="preserve">29 nov 5.8tm 15.4%_x000D_
</t>
  </si>
  <si>
    <t>Filtre a bande_x000D_
Barnston_x000D_
8 Dec 5.7tm 15%_x000D_
15 Dec 5.7tm 15.3%_x000D_
27 Dec 5.6tm 15.8%</t>
  </si>
  <si>
    <t>14,5 kg</t>
  </si>
  <si>
    <t>42,25</t>
  </si>
  <si>
    <t>vidanges par dégrilleur disposées au Lieu d'enfouissement en tranchées de Natashquan, 71,8 kg</t>
  </si>
  <si>
    <t>Vidanges collectées par dégrilleur et déposées hebdomadairement au Lieu d'enfouissement en tranchée à Natashquan; 51,55 kg.</t>
  </si>
  <si>
    <t>Vidanges collectées par dégrilleur et déposées hebdomadairement au Lieu d'enfouissement en tranchée à Natashquan; 61,25 kg.</t>
  </si>
  <si>
    <t>Vidanges collectées par dégrilleur et déposées hebdomadairement au Lieu d'enfouissement en tranchée à Natashquan; 78,4 kg.</t>
  </si>
  <si>
    <t>Vidanges collectées par dégrilleur et déposées hebdomadairement au Lieu d'enfouissement en tranchée à Natashquan; 57,8 kg.</t>
  </si>
  <si>
    <t>Vidanges collectées par dégrilleur et déposées hebdomadairement au Lieu d'enfouissement en tranchée à Natashquan; 42,85 kg</t>
  </si>
  <si>
    <t>Vidanges collectées par dégrilleur et déposées hebdomadairement au Lieu d'enfouissement en tranchée à Natashquan; 47,6 kg.</t>
  </si>
  <si>
    <t>Vidanges collectées par dégrilleur et déposées hebdomadairement au Lieu d'enfouissement en tranchée à Natashquan; 40,05 kg.</t>
  </si>
  <si>
    <t>Vidanges collectées par dégrilleur et déposées hebdomadairement au Lieu d'enfouissement en tranchée à Natashquan; 103,95 kg.</t>
  </si>
  <si>
    <t xml:space="preserve">début des travaux débuté 16 octobre pour installation des équipements  </t>
  </si>
  <si>
    <t>Aucune boue comptabilisée. Les boues soutirées sont présumées être déshydratées de façon passive et leur disposition faite lors d'une année subséquente.</t>
  </si>
  <si>
    <t>du 16 octobre au 9 novembre travaux et vidange boue du 3ime étang voir avis 18649_x000D_
boues a 4.8 % et 20 TMS ont été pompés de létang # 3</t>
  </si>
  <si>
    <t>12.7 tonnes envoyé chez VIRIDIS Environnement. Siccité moyenne:22.6%.</t>
  </si>
  <si>
    <t>Centrifugeuse. Total pour le mois de janvier 2023 54.06 TMS. Provenance décanteur 1 et 2. Site d'enfouissement. Vidange tous le mois de janvier 2-3 fois semaines. Siccité moyenne de 23%</t>
  </si>
  <si>
    <t xml:space="preserve">Centrifugeuse. Total pour le mois de février 2023 62.57 TMS. Provenance des décanteurs 1 et 2. Site d'enfouissement. Vidange de février 2-3 fois semaine. _x000D_
Siccité moyenne de 23%. </t>
  </si>
  <si>
    <t xml:space="preserve">Quantité total extraite en TMS 69,82. Méthode par centrifugeuse, siccité moyenne de 24%. Avec 2 décanteurs. Site enfouissement. Vidange tout au long du mois de mars. </t>
  </si>
  <si>
    <t xml:space="preserve">Décanteur 1 et 2. Déshydratation par centrifugeuse, siccité moyenne de 23% et TMS de 53,06. Site enfouissement. 1er avril au 30 avril.  </t>
  </si>
  <si>
    <t>Décanteur 1 et 2. Déshydratation par centrifugeuse, siccité de 23%.  27,23 TMS pour le mois de mai. Site d'enfouissement. 1 mai au 31 mai.</t>
  </si>
  <si>
    <t>Mesure des boues dans le décanteurs #1, #2 et #3, cela tous les jours. La hauteur moyenne des décanteurs est de 4-5 pieds, lors d'extraction la hauteur diminue à 2-3 pieds. Il y a eu une de 51,09 TM lors du mois de juin qui est sorti de l'usine pour la disposition. Siccité de 22-23% moyen. Au site Enfouissement, dans la région de Salaberry-de-Valleyfield. La boue provient des décanteurs #1 #2 et #3. Début de la vidange le jeudi le 1er juin au 30 juin 2023.  Centrifugeuse, avec un taux de siccité moyen de 22-23%. Sorti de 51,09 TM en juin.</t>
  </si>
  <si>
    <t>Déshydratation par centrifugeuse, boues venant des décanteur 1-2 et 3. Siccité moyenne entre 24% et 25%. Vidange des boues entre le 1 et 31 juillet, quantité de 56.21 TM dans un site d'enfouissement.</t>
  </si>
  <si>
    <t>Déshydratation par centrifugeuse, boues venant des décanteurs 1-2 et 3. Siccité moyenne de 24%._x000D_
Vidange des boues entre 1 et 31 août vers un site d'enfouissement. 53.51 TM</t>
  </si>
  <si>
    <t>Déshydratation par centrifugeuse, boues venant des décanteurs 1-2 et 3. Siccité moyenne entre 22 et 24%. Vidange des boues entre 1 et 30 septembre vers un site d'enfouissement. 55.01 TM</t>
  </si>
  <si>
    <t>Décanteurs 1,2 et 3. Déshydratation par centrifugeuse, siccité entre 23 et 25% 55,91 TM pour le mois d'octobre. 1 au 31 octobre. Site d'enfouissement</t>
  </si>
  <si>
    <t>Déshydratation par centrifugeuse, disposition dans un site d'enfouissement. 67.23 TM du 1 au 30 novembre avec une siccité entre 22.9 % et  24.7% Boue venant des décanteurs 1,2 et 3</t>
  </si>
  <si>
    <t>Déshydratation par centrifugeuse, disposition dans un site d'enfouissement. 57.69 TM du 1 au 31 décembre avec une siccité entre 23.1 % et 25.6% Boue venant des décanteurs 1,2 et 3</t>
  </si>
  <si>
    <t>Date de sortie: 03-09-11-18-24-31 janvier. Quantité: 19.2-18.8-20.1-19.0-19.1-20.8 tonne. Siccité moyenne: 32.4% Lieu de disposition: Gestion Juno et Freres inc.</t>
  </si>
  <si>
    <t xml:space="preserve">Date de sortie: 07- 14- 21- 27 février. Quantité: 18.1 -18.3 -21.3 -17.1 tonne. Siccité moyenne: 32.4%. Lieu de disposition: Gestion Juno et frères inc. </t>
  </si>
  <si>
    <t>Date de sortie: 06-10-15-21-23-28-31. Quantité: 18.3-20.2-19.0-16.7-15.6-16.7-16.4 tonne. Siccité moyenne: 30.6%. Lieu de disposition: Gestion Juno et Frères Inc - Ferme Innov-AG Inc Structure - Érablière Wayagamac inc. U23</t>
  </si>
  <si>
    <t>Date de sortie: 05-11-14-18-25-28 avril. Quantité: 17.0-15.1-15.5-15.7-15.8-15.5 tonne. Siccité moyenne 32.7%. Lieu de disposition: Erabliere Wayagamak inc. , Ferme Innov-AG inc. , Ferme JMP Chretien et Fils inc.</t>
  </si>
  <si>
    <t>Date de sortie: 03-09-16-19-24-30 mai. Quantité: 21.5-19.9-19.8-19.5-19.5-21.0 tonne. Siccité moyenne: 28.8%. Lieu de disposition: Erabliere Wayagamak inc., Gestion Juno et Freres inc.,  Ferme Arnaud Structure.</t>
  </si>
  <si>
    <t xml:space="preserve">Date de sortie: 02-08-14-20-27 Juin. Quantité: 19.9-19.6-18.6-19.9-18.9 tonne. Siccité moyenne: 32.6%. Lieu de disposition: Gestion Juno et Freres Inc. , Ferme JMP Chretien et Fils Inc. </t>
  </si>
  <si>
    <t>Date de sortie: 04-06-12-13-17-20-25-28 juillet. Quantité: 20.2-19.7-19.6-22.4-16.3-19.7-19.2-20.6 tonne. Siccité moyenne: 26.7%. Lieu de disposition: Gestion Juno et frères inc. N38, Ferme JMP Chretien et fils inc. Structure.</t>
  </si>
  <si>
    <t>Date de sortie: 02-04-14-18-25-29 Aout. Quantité: 18.3-20.5-19.5-18.7-20.6-19.3 tonne. Siccité moyenne: 34.9%. Lieu de disposition: Gestion Juno et Frères Inc. Ferme JMP Chrétien et Fils Inc.</t>
  </si>
  <si>
    <t>Date de sortie: 05-08-14-20-26 septembre. Quantité: 21.0-19.8-19.8-19.8-20.4 tonne. Siccité moyenne: 29.3%. Lieu de disposition: Gestion Juno et frères inc. N38, Ferme JMP Chretioen et Fils inc. Structure, Agtipaka inc. N38</t>
  </si>
  <si>
    <t>Date de sortie: 04-11-16-20-26-31 Octobre. Quantité: 18.5-19.7-19.9-19.4-20.2-19.5 tonne. Siccité moyenne: 27.0%. Lieu de disposition: Ferme Arnnaud Structure, Agripaka inc. N38</t>
  </si>
  <si>
    <t>Date de sortie: 02-07-10-14-21-23-28 novembre. Quantité: 21.3-22.3-19.4-18.3-17.9-19.6-20.5 tonne. Siccité moyenne: 26.6%. Lieu de disposition: Agripaka Inc. N38, Ferme Annaud Structure, Ferme Innov-AG Inc, Structure</t>
  </si>
  <si>
    <t>Date de sortie: 01-06-12-18-21-27-29 décembre. Quantité: 19.2-20.3-18.7-19.5-18.9-20.3-18.7 tonne. Siccité moyenne: 27.6%. Lieu de disposition: Ferme JMP Chrétien et Fils inc. Structure, Gestion Juno et Freres inc. C05</t>
  </si>
  <si>
    <t>Système de presse a boues, l'évacuation se fait par la société ENVIROCONNEXION, vers le site d'enfouissement de LACHENAIE._x000D_
La quantité de Boues évacuées pour le mois de Janvier est de 407.9 tonnes à une siccité moyenne de 26.4%.</t>
  </si>
  <si>
    <t>Système de presse a boues, l'évacuation se fait par la société ENVIROCONNEXION, vers le site d'enfouissement de LACHENAIE._x000D_
La quantité de Boues évacuées pour le mois de Février est de 342 tonnes à une siccité moyenne de 27.5%.</t>
  </si>
  <si>
    <t>Système de presse a boues, l'évacuation se fait par la société ENVIROCONNEXION, vers le site d'enfouissement de LACHENAIE._x000D_
La quantité de Boues évacuées pour le mois de Mars est de 356.1 tonnes à une siccité moyenne de 25.9%.</t>
  </si>
  <si>
    <t xml:space="preserve">Système de presse a boues, l'évacuation se fait par la société ENVIROCONNEXION, vers le site d'enfouissement de LACHENAIE._x000D_
La quantité de Boues évacuées pour le mois d'avril est de 198.8 tonnes à une siccité moyenne de 26.5%._x000D_
</t>
  </si>
  <si>
    <t>Système de presse a boues, l'évacuation se fait par la société ENVIROCONNEXION, vers le site d'enfouissement de LACHENAIE._x000D_
La quantité de Boues évacuées pour le mois d'avril est de 428.3 tonnes à une siccité moyenne de 26.1%.</t>
  </si>
  <si>
    <t>Système de presse a boues, l'évacuation se fait par la société ENVIROCONNEXION, vers le site d'enfouissement de LACHENAIE._x000D_
La quantité de Boues évacuées pour le mois de mai est de 462.6 tonnes à une siccité moyenne de 26.2%.</t>
  </si>
  <si>
    <t>Système de presse a boues, l'évacuation se fait par la société ENVIROCONNEXION, vers le site d'enfouissement de LACHENAIE._x000D_
La quantité de Boues évacuées pour le mois de Juillet est de 429.6 tonnes à une siccité moyenne de 27.6%.</t>
  </si>
  <si>
    <t>Système de presse a boues, l'évacuation se fait par la société ENVIROCONNEXION, vers le site d'enfouissement de LACHENAIE._x000D_
La quantité de Boues évacuées pour le mois d'Aout est de 414.5 tonnes à une siccité moyenne de 26.3%.</t>
  </si>
  <si>
    <t>Système de presse a boues, l'évacuation se fait par la société ENVIROCONNEXION, vers le site d'enfouissement de LACHENAIE._x000D_
La quantité de Boues évacuées pour le mois de septembre est de 323.5 tonnes à une siccité moyenne de 24.7%.</t>
  </si>
  <si>
    <t>Système de presse a boues, l'évacuation se fait par la société ENVIROCONNEXION, vers le site d'enfouissement de LACHENAIE._x000D_
La quantité de Boues évacuées pour le mois d'Aout est de 442.5 tonnes à une siccité moyenne de 22.6%.</t>
  </si>
  <si>
    <t>Système de presse a boues, l'évacuation se fait par la société ENVIROCONNEXION, vers le site d'enfouissement de LACHENAIE._x000D_
La quantité de Boues évacuées pour le mois de novembre est de 513.4 tonnes à une siccité moyenne de 21.4%</t>
  </si>
  <si>
    <t>Système de presse a boues, l'évacuation se fait par la société ENVIROCONNEXION, vers le site d'enfouissement de LACHENAIE._x000D_
La quantité de Boues évacuées pour le mois de novembre est de 421.6 tonnes à une siccité moyenne de 21.7%</t>
  </si>
  <si>
    <t>Ouvrage municipal d'assainissement des eaux usées de Bonsecours (SD)</t>
  </si>
  <si>
    <t>Bonsecours</t>
  </si>
  <si>
    <t xml:space="preserve">Travaux exécuté le 15 aout 2023   _x000D_
camion Vaccum, pompage eaux usées Fosse 1 (entré) fosse septique par La compagnie Environ5 : quantité : 27600m3 eau siccité  0.5%_x000D_
</t>
  </si>
  <si>
    <t>Travaux exécuté le 15 aout 2023  disposition usine de traitement Roxton Pond_x000D_
Disposition de l'entièreté de l'eau usées de la fosse septique par La compagnie Environ5 : quantité : 27600m3_x000D_
Fosse 1 (entré)</t>
  </si>
  <si>
    <t>Aucune boue comptabilisée puisqu'elles ont été acheminées à l'ouvrage municipal d'assainissement des eaux usées de Roxton Pond.</t>
  </si>
  <si>
    <t>Deux (2) voyages de camion de 3000 gallon chacun</t>
  </si>
  <si>
    <t>Lagune de la municipalité de Bouchette</t>
  </si>
  <si>
    <t>2 camions de 3000 gallons chacun.</t>
  </si>
  <si>
    <t>Vidangé le 23 octobre 2023 (mois dernier)</t>
  </si>
  <si>
    <t>le 6 juillet vidange des deux fosses pour un volume total de 50.3 m3 vidange par camion vacuum_x000D_
le 10 juillet vidange poste de pompage volume de 13.5 m3 camion vacuum</t>
  </si>
  <si>
    <t>le 6 juillet 50,3 m3 pomper par camion vacuum par pompage sanitaire mont tremblant et transporté a leur site_x000D_
l1 10 juillet 13.5 m3 de boues retirer du poste de pompage par pompage sanitaire mont tremblant et transporté a leur site</t>
  </si>
  <si>
    <t>le 8 novembre vidanges des deux fosse par camion vacuum pour un volume total de 51 m3</t>
  </si>
  <si>
    <t xml:space="preserve">le 8 novembre transport et disposition des boues des deux fosses a l'affluent par pompage sanitaire Mont Tremblant pour un volume total de 51m3 </t>
  </si>
  <si>
    <t>Nous avons soutiré 735.92 tonnes métriques de l'étang no.1 à une siccité moyenne de 33.06%. Les travaux ont débutés le 21 juillet et se sont terminés le 26 juillet. La vidange des boues s'est fait par dragage.</t>
  </si>
  <si>
    <t>Nous avons soutiré 735.92 tonnes métriques de l'étang no.1 à une siccité moyenne de 33.06%. Les travaux ont débutés le 21 juillet et se sont terminés le 26 juillet. La vidange des boues s'est fait par dragage. _x000D_
La disposition a eu lieu dans un champ, au 190 rang du bord de l'eau, J0G 1K0</t>
  </si>
  <si>
    <t>72 tonnes. pomper avec vehicule vaccume a UTEAU. siccite: 35% vider la boue de la station epuration et station de pompage. le 14 et 15 novembre.</t>
  </si>
  <si>
    <t>Bien que le mode de disposition ne soit pas précisé, les boues ont été considérées recyclées (mode de recyclage non précisé).</t>
  </si>
  <si>
    <t>Le rapport de vidange des boues ne nous est pas encore parvenu. Lors de sa réception le rapport du mois d'août sera rappelé afin d'apporter toutes les informations.</t>
  </si>
  <si>
    <t>Ouvrage municipal d'assainissement des eaux usées de Causapscal</t>
  </si>
  <si>
    <t>Causapscal</t>
  </si>
  <si>
    <t>Bassin numéro 3:2023-08-24 au 2023-08-29. Méthode utilise avec une drague .Quantité soutire 2825 metre cube._x000D_
_x000D_
Bassin numéro 1: 2023-08-29 au 2023-09-06 Quantité soutire 2178 metre cube ._x000D_
_x000D_
Sisitte moyenne soutirer  MCI 3.05% LAB: 3.26% TMH : 5003 TMSMCI 152.57 TMS LABO 163.24</t>
  </si>
  <si>
    <t>Valorisation à St-Chrysostome, 147.85 MH, siccité moyenne - 24.9%</t>
  </si>
  <si>
    <t>Valorisation à St-Chrysostome, 118 TMH, siccité moyenne 26 %.</t>
  </si>
  <si>
    <t>Valorisation à St-Chrysostome, 148.1 t MH, (14 bennes) siccité moyenne - 23.5%</t>
  </si>
  <si>
    <t>Valorisation à St-Chrysostome, 129.3 t MH, (12 bennes) siccité moyenne - 27,2%</t>
  </si>
  <si>
    <t>Valorisation à St-Chrysostome, 193.33 MH, siccité moyenne - 26.7%_x000D_
Ste-Sophie</t>
  </si>
  <si>
    <t>Valorisation à St-Chrysostome, 233.64 MH, siccité moyenne - 25.3% Ste-Sophie</t>
  </si>
  <si>
    <t>Valorisation à St-Chrysostome, 282,37 MH, siccité moyenne - 27,2% Ste-Sophie</t>
  </si>
  <si>
    <t>Valorisation à St-Chrysostome, 212 tonnes à 25.9 % de siccité.</t>
  </si>
  <si>
    <t>Valorisation à St-Chrysostome, 252.6 tonnes à 25.3 % de siccité.</t>
  </si>
  <si>
    <t>Valorisation à St-Chrysostome, 293.14  tonnes à 27.3 % de siccité.</t>
  </si>
  <si>
    <t>Valorisation à St-Chrysostome, 532.99 tonnes à 24.4 % de siccité.</t>
  </si>
  <si>
    <t>Valorisation à St-Chrysostome, 110.43 tonnes à 25.9 % de siccité.</t>
  </si>
  <si>
    <t>La compagnie Vide Tout a procédé à la vidange de la trappe à graisse au poste de pompage sur la rue Principale avec un camion de type vacuum. Il a retiré 4400 gallons lors de cette vidange. Il a son propre lieu de disposition.</t>
  </si>
  <si>
    <t>En raison du manque de précision, les quantités saisies correspondent au volume déclaré par l'exploitant (gallons transposés en m3) et les quantités disposées ont été saisies sous "Mode de disposition non précisé".</t>
  </si>
  <si>
    <t>Le 31 octobre, la compagnie EBI a procédé à la vidange de 25 500 gallons avec des camions de type vacuum. Ils ont disposé les boues dans leur propre site de disposition.</t>
  </si>
  <si>
    <t>Le 12 août, la compagnie Vide Tout a procédé à la vidange de la fosse (1900 gallons). Il a disposé la boue dans son propre site. Il a utilisé un vacuum.</t>
  </si>
  <si>
    <t>Le 15 août, la compagnie Vide-Tout a fait la vidange de 1700 gallons avec un camion vacuum. Il a disposé les boues dans son site de disposition.</t>
  </si>
  <si>
    <t xml:space="preserve">Le 6 décembre, la compagnie Vide Tout a procédé à la vidange des boues. Ils ont utilisés un camion de type vacuum.  Ils ont retirés 1700 gallons. Ils ont leur propre site de disposition. </t>
  </si>
  <si>
    <t>Une fois par année - Sani Manic</t>
  </si>
  <si>
    <t>Boue retirée par Sani-Manic, Matane.</t>
  </si>
  <si>
    <t>ÉTANG 3: DU 4 AOUT AU 11 AOUT; 258 TMS À 36.4 % SICCITÉ MOYENNE PAR POMPAGE ET CENTRIFUGATION_x000D_
ÉTANG 4:  DU 19 AOUT AU 23 AOUT ; 155 TMS À  28.5 % SICCITÉ MOYENNE_x000D_
ÉTANG 5: DU 14 AOUT AU 19 AOUT 2023 ; 140 TMS À 26.7 % MOYENNE_x000D_
ÉTANG 6: DU 11 AOUT AU 14 AOUT 2023; 70 TMS À 25.3% SICCITÉ MOYENNE</t>
  </si>
  <si>
    <t xml:space="preserve">DU 4 AOUT AU 23 AOUT 2023 TOTAL DE 622.25 TMS À SICCITÉ MOYENNE DE 30.30%_x000D_
POMPAGE, CENTRIFUGATION_x000D_
VALORISATION AGRICOLES DES BOUES PAR TRANSPORT EN CAMION ET ENTREPOSAGE AU CHAMPS POUR ÉPANDAGE  (ADRESSES) :_x000D_
_x000D_
AMAS VIP 718: 6200 RANG DU RUISSEAU , CONTRECOEUR 1159.11 TONNES_x000D_
_x000D_
AMAS VIP 722A: 1669 CHEMIN DE LA BELLE RIVIERE, SAINTE JULIE 656.78 TONNES_x000D_
_x000D_
AMAS VIP 722B: 1669 CHEMIN DE LA BELLE RIVIERE, SAINTE JULIE 233.29 TONNES _x000D_
_x000D_
</t>
  </si>
  <si>
    <t>Ouvrage municipal d'assainissement des eaux usées de Cookshire-Eaton (Sawyerville)</t>
  </si>
  <si>
    <t>Cookshire-Eaton</t>
  </si>
  <si>
    <t>Vidange de 201,03 TMS de boues_x000D_
_x000D_
1A : 101,66_x000D_
1B : 39,09_x000D_
_x000D_
2A : 41,88_x000D_
2B : 13,26_x000D_
_x000D_
Résidus 1 : 4,47_x000D_
Résidus 2 : 0,67</t>
  </si>
  <si>
    <t>Nous avons fait évacuer des boues par camion vers l'usine d'épuration de Valleyfield via la compagnie Transport Pharand. Il est sortie 144.3 mètres cubes de boues liquides à une siccité moyenne de 2.8%. Nous avons concentré les boues dans le bassin #1 depuis le 2 octobre et la vidange à eu lieu le 6 &amp; 7 novembre 2023.</t>
  </si>
  <si>
    <t>Une déshydratation de boue par centrifugeuse a eu lieu du 01 au 31 Janvier 2023. Le volume total est de 220.8 tonnes avec une siccité de 19.1 %. Les boues ont été disposée pour une revalorisation agricole par la firme Viridis Environnement.</t>
  </si>
  <si>
    <t>Une déshydratation de boue par centrifugeuse a eu lieu du 01 au 27 Février 2023. Le volume total est de 157.8 tonnes avec une siccité de 20.7 %. Les boues ont été disposée pour une revalorisation agricole par la firme Viridis Environnement</t>
  </si>
  <si>
    <t>Une déshydratation de boue par centrifugeuse a eu lieu du 01 au 31 mars 2023. Le volume total est de 152.5 tonnes avec une siccité de 21.2 %. Les boues ont été disposée pour une revalorisation agricole par la firme Viridis Environnement</t>
  </si>
  <si>
    <t>Une déshydratation de boue par centrifugeuse a eu lieu du 01 au 30 Avril 2023. Le volume total est de 146.7 tonnes avec une siccité de 22.0 %. Les boues ont été disposée pour une revalorisation agricole par la firme Viridis Environnement.</t>
  </si>
  <si>
    <t>Une déshydratation de boue par centrifugeuse a eu lieu du 01 au 29 mai 2023. Le volume total est de 188.4 tonnes avec une siccité de 21.9 %. Les boues ont été disposée pour une revalorisation agricole par la firme Viridis Environnement.</t>
  </si>
  <si>
    <t>Une déshydratation de boue par centrifugeuse a eu lieu du 07 au 30 juin 2023. Le volume total est de 101 tonnes avec une siccité de 23.3 %. Les boues ont été disposée pour une revalorisation agricole par la firme Viridis Environnement.</t>
  </si>
  <si>
    <t>Une déshydratation de boue par centrifugeuse a eu lieu du 10 au 19 juillet 2023. Le volume total est de 36.9 tonnes avec une siccité de 25.2 %. Les boues ont été disposée pour une revalorisation agricole par la firme Viridis Environnement.</t>
  </si>
  <si>
    <t>Une déshydratation de boue par centrifugeuse a eu lieu du 02 au 30 août 2023. Le volume total est de 126.4 tonnes avec une siccité de 24.9 %. Les boues ont été disposée pour une revalorisation agricole par la firme Viridis Environnement.</t>
  </si>
  <si>
    <t>Une déshydratation de boue par centrifugeuse a eu lieu du 01 au 29 septembre 2023. Le volume total est de 108.9  tonnes avec une siccité de 25.3 %. Les boues ont été disposée pour une revalorisation agricole par la firme Viridis Environnement.</t>
  </si>
  <si>
    <t>Une déshydratation de boue par centrifugeuse a eu lieu du 02 au 31 octobre 2023. Le volume total est de 149.0  tonnes avec une siccité de 26.3 %. Les boues ont été disposée pour une revalorisation agricole par la firme Viridis Environnement.</t>
  </si>
  <si>
    <t>Une déshydratation de boue par centrifugeuse a eu lieu du 01 au 21 novembre 2023. Le volume total est de 10.1 tonnes avec une siccité de 27.4 %. Les boues ont été disposée pour une revalorisation agricole par la firme Viridis Environnement</t>
  </si>
  <si>
    <t>Les boues sont pompées en continu à partir de notre décanteur primaire et de nos deux décanteurs secondaires pour être dirigées vers un cuvier de  boues mixtes duquel les boues sont déshydratées avec l'aide de 4 presses à vis.  La siccité moyenne pour le mois de janvier a été de 48.08%_x000D_
_x000D_
Les boues ont été disposées de trois façons:_x000D_
_x000D_
70 tonnes ont été envoyées en enfouissement au site Harmoni._x000D_
5307 tonnes ont été brûlées à l'usine de Bromptonville (cogen)_x000D_
912 tonnes ont été valorisées agricolement</t>
  </si>
  <si>
    <t>Les boues sont pompées en continue à partir de notre décanteur primaire et de nos deux décanteurs secondaires pour être dirigées vers un cuvier de boues mixtes duquel elles sont déshydratées grâce à 4 presses à vis.  La siccité moyenne pour le présent mois a été de 43.01%_x000D_
Les boues ont été disposées de trois façons:_x000D_
451 tonnes ont été envoyées dans un site d'enfouissement (site Harmonie à Shawinigan)_x000D_
3265 tonnes ont été brûlées à l'usine de Bromptonville (cogen)_x000D_
2332 tonnes ont été valorisées agricolement</t>
  </si>
  <si>
    <t xml:space="preserve">Les boues sont pompées en continue à partir de notre décanteur primaire et de nos deux décanteurs secondaires pour être dirigées vers un cuvier de boues mixtes duquel les boues sont déshydratées avec l'aide de 4 presses à vis.  La siccité moyenne du mois de mars a été de 41.4%._x000D_
_x000D_
Les boues ont été disposées de 3 manières_x000D_
70 tonnes ont été envoyées en enfouissement au site Harmoni_x000D_
5307 tonnes ont été brûlées (cogen) à l'usine de Bromptonville_x000D_
912 tonnes ont été valorisées agricolement_x000D_
_x000D_
</t>
  </si>
  <si>
    <t>Les boues sont pompées en continu à partir de nos deux décanteurs secondaires et de notre décanteur primaire pour être dirigées vers un cuvier de boues mixtes duquel les boues sont extraites avec l'aide de quatre presses à vis pour une siccité moyenne mensuelle de 41.41%_x000D_
_x000D_
Les boues ont été disposées d'une manière:_x000D_
_x000D_
7177 tonnes ont été brûlées à l'usine de Bromptonville (Cogen)</t>
  </si>
  <si>
    <t>Les boues sont pompées en continu à partir de nos deux décanteurs secondaires et de notre décanteur primaire pour être dirigées vers un cuvier de boues mixtes duquel les boues sont déshydratées avec l'aide de 4 presses à vis. La siccité moyenne pour le moi de mai a été de 42.7%,_x000D_
_x000D_
Les boues ont été disposées de trois façons_x000D_
659 tonnes ont été envoyées en enfouissement au site Harmoni de Shawinigan_x000D_
2890 tonnes ont été brûlées à l'usine de Brompton (Cogen)_x000D_
2948 tonnes ont été valorisées agricolement</t>
  </si>
  <si>
    <t>Les boues ont été pompées en continu de notre décanteur primaire et de nos deux décanteurs secondaires pour être dirigées vers un cuvier de boues mixtes duquel les boues sont déshydratées avec l'aide de 4 presses à vis.  La siccité moyenne pour le mois de juin a été de 44..7%_x000D_
_x000D_
Les boues ont été disposées de trois manières_x000D_
_x000D_
610 tonnes ont été envoyées en enfouissement au site Harmoni de Shawinigan_x000D_
5462 tonnes ont été brûlées (cogen) à l'usine de Bromptonville_x000D_
938 tonnes ont été valorisées agricolement</t>
  </si>
  <si>
    <t xml:space="preserve">Les boues sont pompées en continue de notre décanteur primaire et de nos deux décanteurs secondaires pour être dirigées vers un cuvier de boues mixtes duquel les boues sont déhydratées à partir de 4 presses à vis.  La siccité moyenne pour le mois de juillet a été de 44.46%._x000D_
_x000D_
Les boues ont été disposées de trois manières:_x000D_
_x000D_
38 tonnes ont été envoyées dans le site d'enfouissement Harmoni de Shawinigan _x000D_
38 tonnes ont été valorisées agricolement_x000D_
6231 tonnes ont été brulées à l'usine de Bromptonville (Cogen)_x000D_
_x000D_
_x000D_
</t>
  </si>
  <si>
    <t>Les boues sont pompées en continue de notre décanteur primaire et de nos deux décanteurs secondaires pour être dirigées vers un cuvier de boues mixtes duquel les boues sont déshydratées avec l'aide de 4 presses à vis.  La siccité moyenne pour le mois d'août a été de 44.04%_x000D_
_x000D_
Les boues ont été disposées de deux façons:_x000D_
6259 tonnes ont été brûlées à l'usine de Bromptonville (Cogen)_x000D_
569 tonnes ont été valorisées agricolement</t>
  </si>
  <si>
    <t>Les boues sont pompées en continue à partir de notre décanteur primaire et de nos deux décanteurs secondaires pour être dirigées vers un cuvier de boues mixtes duquel les boues sont déshydratées avec l'aide de 4 presses à vis.  La siccité moyene pour le mois de septembre a été de 39.8%._x000D_
_x000D_
Les boues ont été disposées de trois façons:_x000D_
_x000D_
1861 tonnes ont été brûlées à l'usine de Bromptonville (cogen(_x000D_
1650 tonnes ont été valorisées agricolement_x000D_
522 tonnes ont été envoyées en enfouissement (site Harmoni)</t>
  </si>
  <si>
    <t>Les boues sont pompées en continue à partir de notre décanteur primaire et de nos deux décanteurs secondaires pour être dirigées vers un cuvier de boues mixtes duquel les boues sont déshydratées avec l'aide de 4 presses à vis.  La siccité moyenne pour le présent mois a été de 37.9%._x000D_
_x000D_
Les boues déshydratées ont été disposées de trois façons:_x000D_
38 tonnes ont été envoyées en enfouissement (site Harmoni de Shawinigan)_x000D_
4964 tonnes ont été brulées à l'usine de Bromptonville (cogen)_x000D_
1158 tonnes ont été valorisées agricolement</t>
  </si>
  <si>
    <t>Les boues sont pompées en continue à partir de notre décanteur primaire et de nos deux décanteurs secondaires pour être dirigées vers un cuvier de boues mixtes duquel les boues sont déshydratées avec l'aide de 4 presses à vis.  La siccité moyenne des boues déshydratées pour le mois de novembre a été de 36.7%._x000D_
Les boues ont été disposées de 3 façons:_x000D_
155 tonnes ont été envoyées en enfouissement (site Harmoni)_x000D_
6608 tonnes ont été brulées à l'usine de Bromptonville (cogen)_x000D_
156 tonnes ont été valorisées agricolement</t>
  </si>
  <si>
    <t xml:space="preserve">Les boues sont pompées en continue à partir de notre décanteur primaire et de nos deux décanteurs secondaires pour être dirigées vers un cuvier de boues mixtes duquel les boues sont déshydratées avec l'aide de 4 presses à vis.  La siccité moyenne pour le mois de décembre a été de 35.71%_x000D_
Les boues ont été disposées de trois facons_x000D_
150 tonnes ont été envoyées en enfouissement au site Harmoni de Shawiniganà_x000D_
6110 tonnes ont été brûlées à l'usine de Bromptonville (cogen)_x000D_
114 tonne ont été valorisées agricolement_x000D_
</t>
  </si>
  <si>
    <t xml:space="preserve">Vidange du bassin d'égalisation pour travaux (installation de coulisseaux pour les pompes d'affluent). Date de vidange: 11 mai 2023. Par camion Vaccuum. Au total, 52m3 soutirés dont 42,8m3 retourné dans le traitement et 9,2m3 disposé. </t>
  </si>
  <si>
    <t>Le camion vaccum a disposé de 9,21m3 du bassin d'égalisation chez Enviro 5 à Roxton Pond.</t>
  </si>
  <si>
    <t>Vidange du bassin de boues par camion Vaccum. _x000D_
106m3_x000D_
14 novembre 2023_x000D_
siccité: 1,4%_x000D_
En même temps nous avons pompé les écumes de la fosse #1 et du décanteur ainsi que nettoyer le poste de pompage.</t>
  </si>
  <si>
    <t>Disposition de 106m3 à 1,4% à la régie de Thetford le 14 novembre 2023.</t>
  </si>
  <si>
    <t>Les boues ont été considérées comme étant liquides ; une densité de 1 tonne/m3 a été utilisée pour transposer le volume en tonnage.
Bien qu'il soit indiqué que les boues aient été acheminées à la Régie de Thetford Mines, le mode de disposition n'est pas connu.</t>
  </si>
  <si>
    <t>Déshydratation par centrifugeuse._x000D_
Valorisation par Viridis Environnement Inc._x000D_
Quantité totale mensuelle: 106.6 Tonnes métrique_x000D_
Siccitée moyenne: 21.6 %</t>
  </si>
  <si>
    <t>Déshydratation par centrifugeuse._x000D_
Valorisation par Viridis Environnement Inc._x000D_
Quantité totale mensuelle: 106.4 Tonnes Métrique._x000D_
Siccité moyenne: 22.1 %</t>
  </si>
  <si>
    <t>Déshydratation par centrifugeuse._x000D_
Valorisation par Viridis Environnement Inc._x000D_
Quantité totale mensuelle:  81.4 Tonnes Métrique_x000D_
Siccité moyenne: 22.2 %</t>
  </si>
  <si>
    <t>Déshydratation par centrifugeuse._x000D_
Valorisation par Viridis Environnement Inc._x000D_
Quantité totale mensuelle: 87.4 Tonnes métrique_x000D_
Siccité moyenne: 22,7 %</t>
  </si>
  <si>
    <t>Déshydratation par centrifugeuse._x000D_
Valorisation par Viridis Environnement Inc._x000D_
Quantité totale mensuelle: 94,8 Tonnes métrique._x000D_
Siccité moyenne: 23,7 %</t>
  </si>
  <si>
    <t>Déshydratation par centrifugeuse._x000D_
Valorisation par Viridis Environnement Inc._x000D_
Quantité totale mensuelle:  117 Tonnes métrique_x000D_
Siccité moyenne: 23.4 %</t>
  </si>
  <si>
    <t xml:space="preserve">Déshydratation par centrifugeuse._x000D_
Valorisation par Viridis Environnement Inc._x000D_
Quantité totale mensuelle: 77.6 Tonnes métrique_x000D_
Siccité moyenne: 23.6 % </t>
  </si>
  <si>
    <t>Déshydratation par centrifugeuse._x000D_
Valorisation par Viridis Environnement Inc._x000D_
Quantité totale mensuelle: 118 Tonnes métrique_x000D_
Siccité moyenne: 23.8 %</t>
  </si>
  <si>
    <t>Déshydratation par centrifugeuse._x000D_
Valorisation par Viridis Environnement Inc._x000D_
Quantité totale mensuelle: 69.2  Tonnes métrique._x000D_
Siccité moyenne: 23.5 %</t>
  </si>
  <si>
    <t>Déshydratation par centrifugeuse._x000D_
Valorisation par Viridis Environnement Inc._x000D_
Quantité totale mensuelle: 90,3 Tonnes métrique_x000D_
Siccité moyenne: 22,5 %</t>
  </si>
  <si>
    <t>Déshydratation par centrifugeuse._x000D_
Valorisation par Viridis Environnement inc._x000D_
Quantité totale mensuelle: 126 Tonnes métrique_x000D_
Siccité moyenne: 22.8 %</t>
  </si>
  <si>
    <t>Déshydratation par centrifugeuse._x000D_
Valorisation par Viridis Environnement inc._x000D_
Quantité totale mensuelle: 112 Tonnes métrique_x000D_
Siccité moyenne: 25.8 %</t>
  </si>
  <si>
    <t>Boues déshydratées par un pressoir rotatif. 50,4m3 de boues ont été envoyées au LET de Gaspé avec une siccité moyenne de 26,83%.</t>
  </si>
  <si>
    <t>Boues déshydratées par un pressoir rotatif. 49,4m3 de boues ont été envoyées au LET de Gaspé avec une siccité moyenne de 26,02%</t>
  </si>
  <si>
    <t>Boues déshydratées par un pressoir rotatif. 53,9m3 de boues ont été envoyées au LET de Gaspé avec une siccité moyenne de 27,05%.</t>
  </si>
  <si>
    <t>Boues déshydratées par un pressoir rotatif. 52,3m3 de boues ont été envoyées au LET de Gaspé avec une siccité moyenne de 26,33%.</t>
  </si>
  <si>
    <t>Boues déshydratées par un pressoir rotatif. 58,0m3 de boues ont été envoyées au LET de Gaspé avec une siccité moyenne de 24,24%.</t>
  </si>
  <si>
    <t>Boues déshydratées par un pressoir rotatif. 60,9m3 de boues ont été envoyées au LET de Gaspé avec une siccité moyenne de 24,67%.</t>
  </si>
  <si>
    <t>Boues déshydratées par un pressoir rotatif. 62,0m3 de boues ont été envoyées au LET de Gaspé avec une siccité moyenne de 26,73%.</t>
  </si>
  <si>
    <t>Boues déshydratées par un pressoir rotatif. 77,6m3 de boues ont été envoyées au LET de Gaspé avec une siccité moyenne de 26,70%.</t>
  </si>
  <si>
    <t>Boues déshydratées par un pressoir rotatif. 58,1m3 de boues ont été envoyées au LET de Gaspé avec une siccité moyenne de 26,64%.</t>
  </si>
  <si>
    <t>Boues déshydratées par un pressoir rotatif. 56,9m3 de boues ont été envoyées au LET de Gaspé avec une siccité moyenne de 26,37%.</t>
  </si>
  <si>
    <t>Boues déshydratées par un pressoir rotatif. 63,1m3 de boues ont été envoyées au LET de Gaspé avec une siccité moyenne de 25,37%.</t>
  </si>
  <si>
    <t>Boues déshydratées par un pressoir rotatif. 47,9m3 de boues ont été envoyées au LET de Gaspé avec une siccité moyenne de 24,48%.</t>
  </si>
  <si>
    <t xml:space="preserve">- Déchets retirés par les dégrilleurs :  63   m3._x000D_
- Sable retiré par le ou les dessableurs : 32.46 tonnes. _x000D_
- Disposition de 1117.70 tonnes de boues à 24.64 % de siccité par Uteau Valorisation. _x000D_
- Disposition de 176.98 tonnes de granules à 96.30 % de siccité par Ralph M Lang Custom Inc. Shawville. </t>
  </si>
  <si>
    <t>24,64 % (boues)
96,30 % (granules)</t>
  </si>
  <si>
    <t>La station produit des digestats séchés (granules) ainsi que des digestats déshydratés (boues), tous acheminés en valorisation agricole.</t>
  </si>
  <si>
    <t xml:space="preserve">- Déchets retirés par les dégrilleurs :    68 m3._x000D_
- Sable retiré par le ou les dessableurs : 68.22 tonnes. _x000D_
- Disposition de 1364.08 tonnes de boues à 21.44 % de siccité par Uteau Valorisation. _x000D_
- Disposition de 103.65 tonnes de granules à 95.04 % de siccité par Ralph M Lang Custom Inc. Shawville. </t>
  </si>
  <si>
    <t>21,44 % (boues)
95,04 % (granules)</t>
  </si>
  <si>
    <t xml:space="preserve">- Déchets retirés par les dégrilleurs :    65 m3._x000D_
- Sable retiré par le ou les dessableurs : 23.39 tonnes. _x000D_
- Disposition de 1895.30 tonnes de boues à 22.19 % de siccité par Uteau Valorisation. _x000D_
- Disposition de 0 tonnes de granules à 0 % de siccité par Ralph M Lang Custom Inc. Shawville. </t>
  </si>
  <si>
    <t xml:space="preserve">- Déchets retirés par les dégrilleurs :    63 m3._x000D_
- Sable retiré par le ou les dessableurs : 36.6 tonnes. _x000D_
- Disposition de 1725.09 tonnes de boues à 24.10 % de siccité par Uteau Valorisation. _x000D_
- Disposition de 0 tonnes de granules à 0 % de siccité par Ralph M Lang Custom Inc. Shawville. </t>
  </si>
  <si>
    <t xml:space="preserve">- Déchets retirés par les dégrilleurs :    57 m3._x000D_
- Sable retiré par le ou les dessableurs : 34.6 tonnes. _x000D_
- Disposition de 2213.05 tonnes de boues à 24.84 % de siccité par Uteau Valorisation. _x000D_
- Disposition de 0 tonnes de granules à 0 % de siccité par Ralph M Lang Custom Inc. Shawville. </t>
  </si>
  <si>
    <t xml:space="preserve">- Déchets retirés par les dégrilleurs :    68 m3._x000D_
- Sable retiré par le ou les dessableurs : 55.08 tonnes. _x000D_
- Disposition de 1603.05 tonnes de boues à 25.09 % de siccité par Uteau Valorisation. _x000D_
- Disposition de 0 tonnes de granules à 0 % de siccité par Ralph M Lang Custom Inc. Shawville. </t>
  </si>
  <si>
    <t xml:space="preserve">- Déchets retirés par les dégrilleurs :    63 m3._x000D_
- Sable retiré par le ou les dessableurs : 33.49 tonnes. _x000D_
- Disposition de 2039.80 tonnes de boues à 25.31 % de siccité par Uteau Valorisation. _x000D_
- Disposition de 0 tonnes de granules à 0 % de siccité par Ralph M Lang Custom Inc. Shawville. </t>
  </si>
  <si>
    <t xml:space="preserve">- Déchets retirés des dégrilleurs : 57 m3_x000D_
- Sable retiré par le ou les dessableurs : 33.44 tonnes. _x000D_
- Disposition de 1639 tonnes de boues à 25.11 % de siccité par Uteau Valorisation. _x000D_
- Disposition de 0 tonnes de granules à 0 % de siccité par Ralph M Lang Custom Inc. Shawville. </t>
  </si>
  <si>
    <t xml:space="preserve">- Déchets retirés des dégrilleurs : 57 m3_x000D_
- Sable retiré par le ou les dessableurs : 60,6 tonnes. _x000D_
- Disposition de 1882,2 tonnes de boues à 23,23 % de siccité par Uteau Valorisation. _x000D_
- Disposition de 0 tonnes de granules à 0 % de siccité par Ralph M Lang Custom Inc. Shawville. </t>
  </si>
  <si>
    <t xml:space="preserve">- Déchets retirés des dégrilleurs : 44 m3_x000D_
- Sable retiré par le ou les dessableurs : 32,94 tonnes. _x000D_
- Disposition de 1951,11 tonnes de boues à 22,18 % de siccité par Uteau Valorisation. _x000D_
- Disposition de 0 tonnes de granules à 0 % de siccité par Ralph M Lang Custom Inc. Shawville. </t>
  </si>
  <si>
    <t xml:space="preserve">- Déchets retirés des dégrilleurs : ??? m3_x000D_
- Sable retiré par le ou les dessableurs : 54,56 tonnes. _x000D_
- Disposition de 2554,10 tonnes de boues à 20,61 % de siccité par Uteau Valorisation. _x000D_
- Disposition de 0 tonnes de granules à 0 % de siccité par Ralph M Lang Custom Inc. Shawville. </t>
  </si>
  <si>
    <t xml:space="preserve">- Déchets retirés des dégrilleurs : 44 m3_x000D_
- Sable retiré par le ou les dessableurs : 26,55 tonnes. _x000D_
- Disposition de 2037,95 tonnes de boues à 22,73 % de siccité par Uteau Valorisation. _x000D_
- Disposition de 0 tonnes de granules à 0 % de siccité par Ralph M Lang Custom Inc. Shawville. </t>
  </si>
  <si>
    <t xml:space="preserve">Les boues ont été valorisées aux endroits suivants:_x000D_
_x000D_
Ferme Lexya Holstein Jersey senc / structure_x000D_
Ferme Maroly inc. / Structure_x000D_
Entreprises Fermagri SENC 9 (ent)_x000D_
Vaillancourt, Mario (#1) / Structure_x000D_
Vaillancourt, Mario champ 41_x000D_
Ferme Thérox inc. 13E_x000D_
Ferme Mijane SENC B5_x000D_
Ferme Desrosiers enr. MB1 à MB4_x000D_
_x000D_
_x000D_
Quantité totale: 1637.71 TM_x000D_
_x000D_
Siccité des boues:																													_x000D_
2	16,51%	3	16,45%	4	16,26%	5	16,42%	6	16,00%	7	16,57%	9	16,50%	10	15,96%	11	15,83%	12	16,12%	13	15,00%	14	16,23%	_x000D_
16	15,77%	17	15,94%	18	15,84%	19	16,10%	20	12,00%	21	15,82%	23	15,19%	24	14,21%	25	15,50%	26	15,94%	27	15,00%	28	15,23%	30	15,02%_x000D_
31	15,67_x000D_
Moyenne mensuelle:	15,66%																				_x000D_
_x000D_
</t>
  </si>
  <si>
    <t xml:space="preserve">Les boues ont été valorisées aux endroits suivants:_x000D_
_x000D_
- Ferme Mijane SENC B5_x000D_
- Ferme François Gagnon (L'Avenir) 7_x000D_
- Ferme Lexya Holstein Jersey senc / structure_x000D_
- Ferme Valbois senc Y4 (ent)_x000D_
_x000D_
Quantité totale: 964.65 TM_x000D_
_x000D_
Siccité des boues:_x000D_
1	14,87%	2	14,53%	3	15,00%	4	14,71%	5	15,68%	6	16,37%	7	16,92%	8	15,59%	9	16,39%	10	17,00%	13	17,42%	14	17,12%	15	17,01%	16	18,67%	17	19,00%	18	19,90%	20	19,57%	21	18,76%	22	18,09%	24	18,00%	27	16,70%	_x000D_
Moyenne mensuelle:	17,01%																				_x000D_
</t>
  </si>
  <si>
    <t xml:space="preserve">La valorisation des boues a eu lieu aux endroits suivants:_x000D_
_x000D_
Ferme Lexya Holstein Jersey senc / structure_x000D_
Morissette, Jean 8A_x000D_
Ferme Pierre Létourneau inc. 21_x000D_
Ferme Valbois senc / Structure_x000D_
Semarco Cultures inc. 110_x000D_
Déboisement A et B Martel inc. A+E_x000D_
Déboisement A et B Martel inc. 1-2-3_x000D_
_x000D_
Quantité totale : 1561.64 TM_x000D_
_x000D_
Siccité:_x000D_
1	15,77%	2	16,11%	3	15,00%	4	15,50%	6	15,15%	7	14,72%	8	14,75%	9	16,18%	10	15,00%	11	15,61%	13	14,99%	14	14,83%	15	15,35%	16	14,65%	17	16,00%	18	15,76%	21	16,59%	22	15,40%	23	15,46%	24	15,00%	25	16,45%	27	16,82%	28	16,29%	29	16,14%	30	16,10%	31	15,00%_x000D_
Moyenne mensuelle:	15,56%																			_x000D_
</t>
  </si>
  <si>
    <t xml:space="preserve">La valorisation des boues a eu lieu aux endroits suivants:_x000D_
_x000D_
Ferme Valbois senc / Structure_x000D_
Ferme Lexya Holstein Jersey senc / structure_x000D_
Vaillancourt, Mario (#1) / Structure_x000D_
Mine Black Lake (Phase 3) Site Entrée Nord/Blvd Frontenac_x000D_
Société Ferme Vermeulen enr. BW3_x000D_
Déboisement A et B Martel inc. 1-2-3_x000D_
Déboisement A et B Martel inc. A+E_x000D_
Ferme R. Bessette S.E.N.C. / Structure_x000D_
Ferme Fleurynoise inc. 23 (ent)_x000D_
_x000D_
Quantité totale: 1797.82 TM_x000D_
_x000D_
Siccité:_x000D_
1	15,75%	4	15,56%	5	15,27%	6	16,00%	7	15,80%	8	15,80%	10	15,64%	11	15,55%	12	14,92%	13	14,97%	14	14,00%	15	14,22%_x000D_
17	16,00%	18	14,88%	19	15,79%	20	15,45%	21	15,00%	22	15,16%	23	15,77%	24	15,64%	25	15,99%	26	15,79%	27	16,46%	28	15,68%	29	16,00%_x000D_
Moyenne mensuelle:	15,48%																					_x000D_
</t>
  </si>
  <si>
    <t xml:space="preserve">La valorisation des boues a eu lieu aux endroits suivants:_x000D_
_x000D_
Bernier, Christian 2_x000D_
Chabot, Luc 3_x000D_
Déboisement A et B Martel inc. CHRG 8_x000D_
Entreprises Fermagri SENC RG1 (ent)_x000D_
Ferme Desrosiers enr. 19 (Cookshire)_x000D_
Ferme Fleurynoise inc. 17 (ent)_x000D_
Ferme Fleurynoise inc. 28 (ent)_x000D_
Ferme Janayo / Structure_x000D_
Ferme L. Bolduc inc. 9_x000D_
Ferme Thérox inc. 13E_x000D_
Ferme Valbois senc H3_x000D_
Mine Black Lake (Phase 3) Site Entrée Nord/Blvd Frontenac_x000D_
_x000D_
Quantité totale: 1831.48 TM_x000D_
_x000D_
Siccité:_x000D_
1	15,84%	2	15,46%	4	15,69%	5	15,00%	6	15,64%	8	15,74%	9	15,18%	10	15,56%	11	15,36%	12	14,00%	13	15,82%	15	15,21%_x000D_
16	14,73%	17	15,77%	18	15,85%	19	15,00%	20	15,30%	22	16,10%	23	15,41%	24	15,90%	25	16,01%	26	15,00%	27	15,73%	29	16,03%	30	15,68%	31	15,21%_x000D_
Moyenne mensuelle:	15,47%																					_x000D_
_x000D_
</t>
  </si>
  <si>
    <t xml:space="preserve">La valorisation des boues a eu lieu aux endroits suivants:_x000D_
_x000D_
- Ferme L. Bolduc inc. 9_x000D_
- Ferme Ben-y senc B18_x000D_
- Ferme Janayo / Structure_x000D_
- Vaillancourt, Mario Fosse #2 / Structure_x000D_
- Hébert, Alain V77_x000D_
- Ferme Thérox inc. 13E_x000D_
- Twin Maples Farm inc. 1_x000D_
- Ferme Vervi 34B_x000D_
- Ferme Valbois senc / Structure_x000D_
_x000D_
Quantité totale : 1901.49 TM_x000D_
_x000D_
Siccité:_x000D_
1	15.81%	2	15.00%	3	15.88%	5	15.83%	6	15.48%	7	15.56%	8	14.83%	9	16.00%	10	15.69%	12	15.72%	13	15.52%	14	16.02%	_x000D_
16	15.00%	17	15.80%	19	15.92%	20	15.53%	21	15.80%	22	17.07%	23	15.00%	24	16.03%	26	16.51%	27	17.03%	28	16.58%	29	16.90%	30	17.00%_x000D_
Moyenne mensuelle:	15.90%_x000D_
</t>
  </si>
  <si>
    <t>La valorisation des boues a eu lieu aux endroits suivants:_x000D_
_x000D_
- Ferme Valbois senc / Structure_x000D_
- Ferme de l'Éclatière S.E.N.C. / Structure MRF #1_x000D_
- Twin Maples Farm inc. 1_x000D_
- Brisebois, Denis 7_x000D_
- Ferme Maroly inc. / Structure_x000D_
- Ferme Fleurynoise inc. 5_x000D_
- Ferme Somerset inc. #2 MRF / Structure_x000D_
_x000D_
Quantité totale: 1737 TM_x000D_
_x000D_
1	16.64%	3	17.37%	4	16.51%	5	16.30%	7	16.00%	8	16.38%	10	17.14%	11	16.42%	12	16.41%	13	16.12%	14	16.00%	15	16.10%_x000D_
17	16.40%	18	16.23%	19	16.75%	20	16.47%	21	16.00%	24	16.74%	25	16.33%	26	15.90%	27	17.88%	28	16.00%	30	16.87%	31	16.91%_x000D_
Moyenne mensuelle:	16.49%</t>
  </si>
  <si>
    <t>La valorisation des boues a eu lieu aux endroits suivants:_x000D_
_x000D_
- Ferme Thérox inc. 1 (ent)_x000D_
- Ferme Somerset inc. #2 MRF / Structure_x000D_
- Les Fermes Overbeek inc. 14_x000D_
- Ferme Fleurynoise inc. 5_x000D_
- Ferme Raymond Ch. #18_x000D_
- Les Entreprises Magnum inc. / Structure_x000D_
- Mine Black Lake (Phase 3) Site Entrée Nord/Blvd Frontenac_x000D_
- Vaillancourt, Mario (#1) / Structure_x000D_
- Vaillancourt, Mario Fosse #2 / Structure_x000D_
- Ferme Valbois senc M1 (ent)_x000D_
_x000D_
Quantité totale : 1455.99 TM_x000D_
_x000D_
Siccité des boues:_x000D_
1	16.90%	3	18.50%	4	18.00%	5	18.89%	7	19.60%	8	19.52%	9	18.62%	10	17.50%	11	17.00%	12	17.26%	14	18.00%	15	18.00%_x000D_
16	18.02%	17	17.75%	18	17.00%	19	17.77%	21	16.58%	22	17.06%	23	18.42%	24	16.69%	25	16.00%	26	16.75%	28	16.84%	29	16.14%	30	16.69%	31	16.77%_x000D_
Moyenne mensuelle:	17.55%</t>
  </si>
  <si>
    <t>La valorisation des boues a eu lieu aux endroits suivants:_x000D_
_x000D_
- Vaillancourt, Mario (#1) / Structure_x000D_
- Ferme Raymond 6_x000D_
- Ferme Jean-Guy Jodoin inc. 147_x000D_
- 9441-8068 Québec inc. - Les Serres Mathieu et filles 235_x000D_
- Jacques, Éric GA2_x000D_
- Ferme Joliboeuf inc. JL3_x000D_
- Ferme Fleurynoise inc. 10_x000D_
_x000D_
Quantité totale : 1851.87 TM_x000D_
_x000D_
Siccité des boues:																													_x000D_
1	16.00%	2	15.86%	5	16.42%	6	16.96%	7	16.46%	8	16.00%	9	16.67%	11	16.88%	12	16.88%	13	17.31%	14	16.39%	15	16.00%_x000D_
16	16.43%	18	16.38%	19	16.38%	20	16.39%	21	16.24%	22	16.00%	23	16.32%	25	16.42%	26	16.25%	27	16.50%	28	16.14%	29	16.00%	30	16.28%_x000D_
Moyenne mensuelle:	16.38%</t>
  </si>
  <si>
    <t>La valorisation des boues a été effectuée aux endroits suivants:_x000D_
_x000D_
- Entreprises Fermagri SENC 9 (ent)_x000D_
- Ferme Thérox inc. 13E_x000D_
- Antoine Jacquart et fils enr. F3S_x000D_
- Ferme de l'Éclatière S.E.N.C./Structure MRF #1_x000D_
- Ferme Fleurynoise inc. 17 (ent)_x000D_
- Ferme Fleurynoise inc. 7 a_x000D_
- Ferme Fleurynoise inc. 10_x000D_
- Ferme Valbois senc / Structure_x000D_
- Jacques, Éric GA2_x000D_
- Ferme Lexya Holstein Jersey senc / structure_x000D_
_x000D_
Quantité totale : 1773.93 TM_x000D_
_x000D_
Siccité des boues:_x000D_
2	16.39%	3	16.25%	4	16.57%	5	16.19%	6	16.00%	7	16.20%	9	17.09%	10	16.61%	11	16.43%	12	16.38%	13	15.00%	14	16.00%	_x000D_
16	16.80%	17	15.00%	18	16.62%	19	16.62%	20	16.00%	21	16.46%	23	17.37%	24	17.85%	25	17.01%	27	15.00%	28	15.56%	30	15.94%_x000D_
31	16.22%_x000D_
Moyenne mensuelle:	16.30%</t>
  </si>
  <si>
    <t>La valorisation des boues a été effectuée aux endroits suivants:_x000D_
_x000D_
- Jacques, Éric JB15_x000D_
- Ferme Lexya Holstein Jersey senc / structure_x000D_
- Ferme des Ormes 2019 inc. 15_x000D_
- Ferme Janayo / Structure_x000D_
- Ferme des Ormes 2019 inc. 3_x000D_
- Ferme Valbois senc / Structure_x000D_
_x000D_
Quantité totale : 2182.63 TM _x000D_
_x000D_
Siccité des boues:_x000D_
1	16.12%	2	15.93%	3	16.06%	4	15.25%	6	16.11%	7	16.42%	8	16.72%	9	16.00%	10	15.90%	11	15.38%	12	15.82%	13	17.08%	14	15.90%	15	16.09%	16	15.89%	17	16.16%	18	16.00%	19	15.54%	20	15.75%	23	16.64%	24	16.13%	25	15.66%	27	17.53%	30	16.49%_x000D_
Moyenne mensuelle:	16.11%</t>
  </si>
  <si>
    <t>La valorisation des boues a été effectuée aux endroits suivants:_x000D_
_x000D_
- Ferme Valbois senc / Structure_x000D_
- Ferme Lexya Holstein Jersey senc / structure_x000D_
- Mine Black Lake (Phase 3) 200 chemin de la Mine_x000D_
- Ferme François Gagnon (L'Avenir) 7_x000D_
_x000D_
Quantité totale:  1607.96 TM_x000D_
_x000D_
Siccité des boues:_x000D_
_x000D_
1	16.00%	2	16.00%	4	16.19%	7	15.83%	8	14.00%	9	15.44%	11	16.23%	12	17.20%	13	16.80%	14	16.36%	15	15.00%	16	15.98%	18	16.74%	19	17.00%	20	20.05%	21	17.05%	22	17.00%	23	15.95%	25	16.35%	26	15.54%	27	16.27%	28	15.94%	29	14.00%	30	15.65%_x000D_
Moyenne mensuelle:	16.19%</t>
  </si>
  <si>
    <t>Déchets retirés 2 mètre cubes</t>
  </si>
  <si>
    <t>Déchets retirés 1 mètre cubes et 3/4</t>
  </si>
  <si>
    <t xml:space="preserve">Déchets retirés 2 mètres cubes_x000D_
</t>
  </si>
  <si>
    <t xml:space="preserve">déchets retirés 1 mètre cube et quart_x000D_
</t>
  </si>
  <si>
    <t>Déchets retirés 2 1/2 mètres cubes</t>
  </si>
  <si>
    <t xml:space="preserve">1/2 mètre cube retirer_x000D_
</t>
  </si>
  <si>
    <t>1 mètre cube de déchets retirés</t>
  </si>
  <si>
    <t>Déchets retirés 1 3/4 mètres cubes</t>
  </si>
  <si>
    <t>Ouvrage municipal d'assainissement des eaux usées de Havre-Saint-Pierre</t>
  </si>
  <si>
    <t>Havre-Saint-Pierre</t>
  </si>
  <si>
    <t>enfouissement</t>
  </si>
  <si>
    <t>Enfouissement</t>
  </si>
  <si>
    <t>Ouvrage municipal d'assainissement des eaux usées de Honfleur</t>
  </si>
  <si>
    <t>Honfleur</t>
  </si>
  <si>
    <t>Vidange des boues de la cellule 4 du 15 au 17 aout 2023. Volume soutirée 752m3 pour 11.17 TMS</t>
  </si>
  <si>
    <t>Vidange de boue dans la cellule #2, vidange le 18 et 19 septembre 2023, méthode utilisée: pompage dans un géotube sur place avec un système de dosage de polymère.  Avant la vidange:#1 :0.80m boue foncé, #2 : 0.66m boue foncé, #3 : 0.56m boue foncé, #4: 0.26 boue foncée, #5 0.26 boue foncée, #6 : 0.1 m boue foncée.  Après la vidange #1 : 0.40 boue claire, #2 : 0 .30 boue claire #3 : 0.25 boue claire, #4 : 0.20 boue claire, #5 : 0.15 boue claire et #6: 0.00 m  échantillon de boue dans le geotube : Siccité 0.4%</t>
  </si>
  <si>
    <t>5 juillet 2023. 24 camions vaccum environ 326m³ de boues. Vidange presque complète de l'étang #1 et vidange complète pour l'étang #3.</t>
  </si>
  <si>
    <t>Jorg Recyclage Inc. Nominingue</t>
  </si>
  <si>
    <t>Méthode de disposition : Enfouissement Lieu de disposition : L.E.T. de la MRC de Charlevoix-Est Quantité de boues évacuée : environ 105.67 m3 (70.74 tonnes) provenant des bassins 1 et 2 Date d'opération du pressoir : 3-4-9-10-11-16-18-19-23-25 et 30. Siccité moyenne : 37.24% Bassin de boues 1 et 2.</t>
  </si>
  <si>
    <t>Méthode de disposition : Enfouissement Lieu de disposition : L.E.T. de la MRC de Charlevoix-Est Quantité de boues évacuée : environ 75.84 m3 (50.77 tonnes) provenant des bassins 1 et 2 Date d'opération du pressoir : 02-06-09-13-16-20-23 et 27. Siccité moyenne : 39.44% Bassin de boues 1 et 2.</t>
  </si>
  <si>
    <t>Méthode de disposition : Enfouissement Lieu de disposition : L.E.T. de la MRC de Charlevoix-Est Quantité de boues évacuée : environ 95.84 m3 (64.16 tonnes) provenant des bassins 1 et 2 Date d'opération du pressoir : 02-06-09-13-14-16-20-23-27 et 30. Siccité moyenne : 40.9% Bassin de boues 1 et 2.</t>
  </si>
  <si>
    <t>Méthode de disposition : Enfouissement Lieu de disposition : L.E.T. de la MRC de Charlevoix-Est Quantité de boues évacuée : environ 75.06 m3 (50.25 tonnes) provenant des bassins 1 et 2 Date d'opération du pressoir : 03-06-11-13-17-20-24 et 27. Siccité moyenne : 39.37% Bassin de boues 1 et 2</t>
  </si>
  <si>
    <t>Méthode de disposition : Enfouissement Lieu de disposition : L.E.T. de la MRC de Charlevoix-Est Quantité de boues évacuée : environ 86.94 m3 (58.2 tonnes) provenant des bassins 1 et 2 Date d'opération du pressoir : 1-4-8-11-15-18-23-24 et 29. Siccité moyenne : 38.08% Bassin de boues 1 et 2.</t>
  </si>
  <si>
    <t>Méthode de disposition : Enfouissement Lieu de disposition : L.E.T. de la MRC de Charlevoix-Est Quantité de boues évacuée : environ 103.19 m3 (69.08 tonnes) provenant des bassins 1 et 2 Date d'opération du pressoir : 1-5-6-8-12-15-19-22-26 et 29. Siccité moyenne : 37.75 % Bassin de boues 1 et 2.</t>
  </si>
  <si>
    <t>Méthode de disposition : Enfouissement Lieu de disposition : L.E.T. de la MRC de Charlevoix-Est Quantité de boues évacuée : environ 103.94 m3 (69.58 tonnes) provenant des bassins 1 et 2 Date d'opération du pressoir : 3-5-6-10-13-17-18-20-24-27 et 31. Siccité moyenne : 39.11% Bassin de boues 1 et 2</t>
  </si>
  <si>
    <t>Méthode de disposition : Enfouissement Lieu de disposition : L.E.T. de la MRC de Charlevoix-Est Quantité de boues évacuée : environ 121.21 m3 (81.14 tonnes) provenant des bassins 1 et 2 Date d'opération du pressoir : 2-3-7-8-10-14-17-21-23-24-28 et 31. Siccité moyenne : 39.91% Bassin de boues 1 et 2.</t>
  </si>
  <si>
    <t>Méthode de disposition : Enfouissement Lieu de disposition : L.E.T. de la MRC de Charlevoix-Est Quantité de boues évacuée : environ 93.86 m3 (62.83 tonnes) provenant des bassins 1 et 2 Date d'opération du pressoir : 5-7-11-14-18-20-21-25 et 28. Siccité moyenne : 36.77% Bassin de boues 1 et 2.</t>
  </si>
  <si>
    <t>Méthode de disposition : Enfouissement Lieu de disposition : L.E.T. de la MRC de Charlevoix-Est Quantité de boues évacuée : environ 98.19 m3 (65.73 tonnes) provenant des bassins 1 et 2 Date d'opération du pressoir : 2-5-10-12-16-19-23-26 et 30. Siccité moyenne : 33% Bassin de boues 1 et 2.</t>
  </si>
  <si>
    <t>Méthode de disposition : Enfouissement Lieu de disposition : L.E.T. de la MRC de Charlevoix-Est Quantité de boues évacuée : environ 78.69 m3 ( 52.68 tonnes) provenant des bassins 1 et 2 Date d'opération du pressoir : 2-6-8-14-20-22-27 et 30. Siccité moyenne : 32.37% Bassin de boues 1 et 2</t>
  </si>
  <si>
    <t>Méthode de disposition : Enfouissement Lieu de disposition : L.E.T. de la MRC de Charlevoix-Est Quantité de boues évacuée : environ 137.75 m3 (92.21 tonnes) provenant des bassins 1 et 2 Date d'opération du pressoir : 4-6-13-14-18-20-21-24-26- et 27. Siccité moyenne : 33.72% Bassin de boues 1 et 2</t>
  </si>
  <si>
    <t>Début de la vidange des boues des étangs aérés pour un vidange à sec des étangs #1 et 2. Travaux qui devrait prendre plusieurs semaines. Début des travaux par l'étang #2 pour terminer par l'étang #1.</t>
  </si>
  <si>
    <t>la disposition des boues se fait dans des géotubes ainsi que par centrifugeuse. nous déposerons le rapport final à la fin de travaux.</t>
  </si>
  <si>
    <t>Nous sommes en pleine vidange de boues depuis le milieu du mois d'avril. rapport final à venir à la fin des travaux.</t>
  </si>
  <si>
    <t>Nous sommes en plein travaux de pompage et disposition des boues.</t>
  </si>
  <si>
    <t>Nous sommes en finalisation des travaux de vidange des boues dans les étangs.</t>
  </si>
  <si>
    <t xml:space="preserve">Vidange des étangs no.1A,1B,2A et 2B du 26 avril au 30 mai 2023. la méthode utilisée est vidange à sec, déhydratation par géotubes et par centrifugeuses. Nous avons évacué dans l'étang no.1A : 295 tms,1B : 400 tms; 2A : 483 tms et 2B: 366 tms pour un total de 1 544 tms. La Siccité moyenne des boues soutirées est d'environ 4% selon mesure des boues faite par l'année dernière._x000D_
</t>
  </si>
  <si>
    <t xml:space="preserve">La méthode de disposition est la valorisation agricole. _x000D_
Les lieux de disposition sont : 4941 de la point aux pruches, Varennes chez Martin larose, Bennet et Christian Chaput ainsi que chez Pascal Schoune, 1840, Chemin Sainte-Marie, St-Polycarpe, Qc ainsi que Gascon, 1935 Lajoie, Alfred et Jonathan Craigal, 1363, rang 5, Très-Saint-Sacrement._x000D_
Quantité de boues évacuée : 1227.21 tonnes métriques base sèche (TMS)_x000D_
La Siccité moyenne des boues évacuée est d'environ 22% par les centrifugeuses, pour les géotubes, on le saura au printemps prochain  mais estimation à 364.75 TMS_x000D_
Vidange des étangs no.1A,1B,2A et 2B du 26 avril au 30 mai 2023. la méthode utilisée est vidange à sec, déhydratation par géotubes et par centrifugeuses._x000D_
</t>
  </si>
  <si>
    <t>Ouvrage municipal d'assainissement des eaux usées de La Sarre</t>
  </si>
  <si>
    <t>La Sarre</t>
  </si>
  <si>
    <t>Etang 1 et étang 2 Début des travaux le 8 septembres fin des travaux 6 octobre. Méthodes utilisé: Pompage_x000D_
Etang#1: 6.1% siccité  1265.52 M3_x000D_
Etang#2: 6.1% siccité  2559.4   M3</t>
  </si>
  <si>
    <t>Etang 1 et étang 2 Début des travaux le 8 septembres fin des travaux 6 octobre. Méthodes utilisé: Pompage_x000D_
Les boues ont été mis sur un lit de séchage affin de les déshydrater pour un total de 12 sac._x000D_
Etang#1: 6.1% siccité  1265.52 M3_x000D_
Etang#2: 6.1% siccité   2559.4  M3</t>
  </si>
  <si>
    <t>Ouvrage municipal d'assainissement des eaux usées de Lac-Beauport (Domaine Écho) Phase1</t>
  </si>
  <si>
    <t>Lac-Beauport</t>
  </si>
  <si>
    <t>pompage du bassin des boues par camion vaccuum le 27/03/2023._x000D_
31,7 m3 de boues sanitaires disposées à la Ville de Québec.</t>
  </si>
  <si>
    <t>Aucune boue comptabilisée. Il a été présumé qu'elles ont été acheminées vers l'ouvrage municipal d'assainissement des eaux usées de Québec (Est).</t>
  </si>
  <si>
    <t>Ouvrage municipal d'assainissement des eaux usées de Lac-Beauport (Les Sentiers du Moulin)</t>
  </si>
  <si>
    <t>Vidange de la fosse septique au complet, le 5 octobre 2023, par camion vacuum. 3 voyages au total pour 34 m3.</t>
  </si>
  <si>
    <t>Quantité totale disposée à la ville de Québec le 6 octobre 2023.</t>
  </si>
  <si>
    <t>Ouvrage municipal d'assainissement des eaux usées de Lac-des-Écorces</t>
  </si>
  <si>
    <t>Lac-des-Écorces</t>
  </si>
  <si>
    <t>Du 23 au 30 aout. Fait par dragage et mise en sac par GFL. 119 TMS au total., env 70 dans l'étangs #2 et 50 dans l'étangs #1</t>
  </si>
  <si>
    <t>Ouvrage municipal d'assainissement des eaux usées de Lac-des-Écorces (Val-Barrette)</t>
  </si>
  <si>
    <t>Du 16 au 20 aout. Dragage et mise en sac par GLF. Étangs #2 pour 73.22 TMS</t>
  </si>
  <si>
    <t>25 et 26 Octobre 2023 : Vidange totale des réservoirs du système FIR = 68m³ 25 et 26 Octobre 2023 : Vidange totale de la fosse septique 2 sections =100m³</t>
  </si>
  <si>
    <t>Ouvrage municipal d'assainissement des eaux usées de Lac-Etchemin (Sainte-Germaine)</t>
  </si>
  <si>
    <t>vidange du bassin 1 et 2 , début le 11 aout 2023 fin le 17 aout 2023, méthode de drague + déshydratation, Quantitée soutirée de 116 tms ou 414 m3, avec une siccité moyenne de 28 %</t>
  </si>
  <si>
    <t>Déshydratation et chargement dans camion pour épandage dans les champs de ferme porcine Alco, St-Janvier de Joly, 116 tms ou 414 m3 , avec une siccité moyenne de 28 %, bassin 1 et 2, du 11 au 17 aout 2023 méthode de drague +déshydratation.</t>
  </si>
  <si>
    <t>Un total de 81.17 T.m envoyée à lécocentre mégantic situé au 5138 Rue Pie Xi, Lac-Mégantic, QC G6B 2S3. La boue avait une siccité moyenne de 15.84%</t>
  </si>
  <si>
    <t xml:space="preserve">un total de 87.37  t.m envoyé à lécocentre de Lac-Mégantic situé au 5138 Rue Pie Xi, Lac-Mégantic, QC G6B 2S3. la boues avaient une siccité moyenne de 16.19%_x000D_
</t>
  </si>
  <si>
    <t>un total de 90,6 t.m envoyé à léconocentre mégantic situé au 5138 Rue Pie Xi, Lac-Mégantic, QC G6B 2S3, la boues avaient une siccité moyenne de 16,85%.</t>
  </si>
  <si>
    <t>un total de 87.56 t.m envoyé à léconocentre mégantic situé au 5138 Rue Pie Xi, Lac-Mégantic, QC G6B 2S3, la boues avaient une siccité moyenne de 17.25%.</t>
  </si>
  <si>
    <t>un total de 92.1 t.m envoyé pour valorisation agricole Weedon à léconocentre mégantic situé au 5138 Rue Pie Xi, Lac-Mégantic, QC G6B 2S3,. la boues avaient une siccité moyenne de 16.54%</t>
  </si>
  <si>
    <t>un total de 89.64  t.m envoyé pour valorisation agricol_weedon. la boues avaient une siccité moyenne de 15.71%</t>
  </si>
  <si>
    <t>un total de 79.15  t.m envoyé pour valorisation agricol_weedon. la boues avaient une siccité moyenne de 17.06 %</t>
  </si>
  <si>
    <t>un total de 104.02  t.m envoyé pour valorisation agricol_weedon et valoraisation agricol_St-ludger. la boues avaient une siccité moyenne de 16.13%</t>
  </si>
  <si>
    <t>un total de 100.2  t.m envoyé pour valorisation agricol_St-Ludger et compostage a léconocentre mégantic situé au 5138 Rue Pie Xi, Lac-Mégantic, QC G6B 2S3. la boues avaient une siccité moyenne de 15.53%</t>
  </si>
  <si>
    <t>la boues a été disposer a leconocentre de megantic située au 5138 Rue Pie Xi, Lac-Mégantic, QC G6B 2S3 ainsi que de la valorisation agricole St-Ludger. Un total de 99,7 T de boues avec une siccité moyenne de 15,74%.</t>
  </si>
  <si>
    <t>86 T m3 on été en valorisation a lecono centre de mégantic située au 5138 Rue Pie Xi, Lac-Mégantic, QC G6B 2S3 avec une siccité moyenne de 16%</t>
  </si>
  <si>
    <t xml:space="preserve">un total de 77 t m3 de boues a été en valorisation au centre de compostage de lac-mégantic situé au  5138 Rue Pie Xi, Lac-Mégantic, QC G6B 2S3, siccité moyenne de 16,29%_x000D_
</t>
  </si>
  <si>
    <t>La vidange de boues du décanteurs ainsi que des fosses septiques en amont du traitement a été fait la semaine du 20 novembre.</t>
  </si>
  <si>
    <t>Les boues sont disposées sur une base journalière dans un conteneur située sur le même lot que l'instalation du dégrilleur. Quantité : 1.6 m³</t>
  </si>
  <si>
    <t>Les boues sont diposées dans un conteneur situé sur le même lot que le dégrilleur. Volume de boue :1.59m³</t>
  </si>
  <si>
    <t>les boues sont disposées sur une base journalière dans un conteneur situé sur le même lot que l'édifice du dégrilleur. Volume disposée durant le lmois de mars : 1.65 m³</t>
  </si>
  <si>
    <t>les boues sont disposées sur une base journalière dans un conteneur situé sur le même lot que l'édifice du dégrilleur. Volume disposée durant le lmois de mars : 1.25 m³</t>
  </si>
  <si>
    <t xml:space="preserve">Les boues sont disposées sur une base journalière dans un conteneur situé sur le même lot que l'édifice du dégrilleur. Volume disposée durant le mois de mai : 1.36 m³_x000D_
_x000D_
</t>
  </si>
  <si>
    <t>Les boues sont disposées sur une base journalière dans un conteneur situé sur le même lot que l'édifice du dégrilleur. Volume disposée durant le mois de mai : 1.56 m³</t>
  </si>
  <si>
    <t>Les boues sont disposées sur une base journalière dans un conteneur situé sur le même lot que l'édifice du dégrilleur. Volume disposée durant le mois de juillet : 2.55 m³</t>
  </si>
  <si>
    <t>Les boues sont disposées sur une base journalière dans un conteneur situé sur le même lot que l'édifice du dégrilleur. Volume disposée durant le mois de aout : 2.72m³</t>
  </si>
  <si>
    <t>Les boues sont disposées sur une base journalière dans un conteneur situé sur le même lot que l'édifice du dégrilleur. Volume disposée durant le mois de septembre : 1.38m³</t>
  </si>
  <si>
    <t>Les boues sont disposées sur une base journalière dans un conteneur situé sur le même lot que l'édifice du dégrilleur. Volume disposée durant le mois d'octobre : 0.93m³</t>
  </si>
  <si>
    <t>Les boues sont disposées sur une base journalière dans un conteneur situé sur le même lot que l'édifice du dégrilleur. Volume disposée durant le mois d'octobre : 1.16 m³</t>
  </si>
  <si>
    <t>Les boues sont disposées sur une base journalière dans un conteneur situé sur le même lot que l'édifice du dégrilleur. Volume disposé durant le mois de Décembre : 1.36 m³</t>
  </si>
  <si>
    <t>Vidange de la fosse 1 pré-filtre, boues total 34000 litres. Compartiments solide, liquide, et pré-filtre. _x000D_
vider le 15 Juin 2023.</t>
  </si>
  <si>
    <t xml:space="preserve">Recyclage Jorg Nominingue. </t>
  </si>
  <si>
    <t>En raison du manque de précision, les quantités saisies correspondent au volume déclaré par l'exploitant (litres transposés en m3).</t>
  </si>
  <si>
    <t>vidanger fosse 2 et le pré-filtre. total de 49.6 mc.  Vidanger le 21 Juillet.</t>
  </si>
  <si>
    <t>Vidanger par Recyclage Jorg de Nominingue.</t>
  </si>
  <si>
    <t>Date de la vidange : 29 septembre 2023_x000D_
Volume soutirées dans la fosse 3 000 gallons</t>
  </si>
  <si>
    <t>La disposition a été effectuée par Enviroboue Ghislain Morin. Les boues ont été disposées à Val d'Or.</t>
  </si>
  <si>
    <t xml:space="preserve">Enfouissement : BFI Lachenaie 418.8 TM  avec siccité moyenne de 29 %	_x000D_
Déchet dégrillée: 14.3 m3_x000D_
             déssablée: 8.0 m3_x000D_
Aide coagulant (AE400) : 825 kg_x000D_
</t>
  </si>
  <si>
    <t xml:space="preserve">Enfouissement : BFI Lachenaie 421.5 TM  avec siccité moyenne de 28.3 %	_x000D_
Déchet dégrillée: 14.8 m3_x000D_
             déssablée: 10.4 m3_x000D_
Aide coagulant (AE400) : 750 kg_x000D_
</t>
  </si>
  <si>
    <t xml:space="preserve">Enfouissement : BFI Lachenaie 504,3 TM  avec siccité moyenne de 29,5 %	_x000D_
Déchet dégrillée: 13,8 m3_x000D_
             déssablée: 11,2 m3_x000D_
Aide coagulant (AE400) : 775 kg_x000D_
</t>
  </si>
  <si>
    <t xml:space="preserve">Enfouissement : BFI Lachenaie 387,3 TM  avec siccité moyenne de 33,6 %	_x000D_
Déchet dégrillée: 14,6 m3_x000D_
             déssablée: 21,6 m3_x000D_
Aide coagulant (AE400) : 700 kg_x000D_
</t>
  </si>
  <si>
    <t xml:space="preserve">Enfouissement : BFI Lachenaie 546.6 TM  avec siccité moyenne de 30.2 %	_x000D_
Déchet dégrillée: 14.8 m3_x000D_
             déssablée: 20 m3_x000D_
Aide coagulant (AE400) : 500 kg_x000D_
</t>
  </si>
  <si>
    <t xml:space="preserve">Enfouissement : BFI Lachenaie 473.5 TM  avec siccité moyenne de 31.4 %	_x000D_
Déchet dégrillée: 15.9 m3_x000D_
             déssablée: 36.8 m3_x000D_
Aide coagulant (AE400) : 675 kg_x000D_
</t>
  </si>
  <si>
    <t xml:space="preserve">Enfouissement : BFI Lachenaie 426.3 TM  avec siccité moyenne de 35.4 %	_x000D_
Déchet dégrillée: 12.2 m3_x000D_
             déssablée: 34.8 m3_x000D_
Aide coagulant (AE400) : 575 kg_x000D_
</t>
  </si>
  <si>
    <t xml:space="preserve">Enfouissement : BFI Lachenaie 448.9 TM  avec siccité moyenne de 32.9%	_x000D_
Déchet dégrillée: 10.7 m3_x000D_
             déssablée: 17,6 m3_x000D_
Aide coagulant (AE400) : 500 kg_x000D_
</t>
  </si>
  <si>
    <t xml:space="preserve">Enfouissement : BFI Lachenaie 433.9 TM  avec siccité moyenne de 31.7 %	_x000D_
Déchet dégrillée: 17,8 m3_x000D_
             déssablée: 29.6 m3_x000D_
Aide coagulant (AE400) : 575 kg_x000D_
</t>
  </si>
  <si>
    <t xml:space="preserve">Enfouissement : BFI Lachenaie 458.1TM  avec siccité moyenne de 29.7 %	_x000D_
Déchet dégrillée: 11.2 m3_x000D_
             déssablée: 13.6 m3_x000D_
Aide coagulant (AE400) : 575 kg_x000D_
</t>
  </si>
  <si>
    <t xml:space="preserve">Enfouissement : BFI Lachenaie 377 TM  avec siccité moyenne de 30.4 %	_x000D_
Déchet dégrillée: 10.9 m3_x000D_
             déssablée: 16.8 m3_x000D_
Aide coagulant (AE400) : 575 kg_x000D_
</t>
  </si>
  <si>
    <t xml:space="preserve">Enfouissement : BFI Lachenaie 943.38 TM  avec siccité moyenne de 28,3 %	_x000D_
Déchet dégrillée:  18.92  TM_x000D_
             déssablée:  12.77 TM_x000D_
Aide coagulant (AE400) : 3750 kg_x000D_
</t>
  </si>
  <si>
    <t xml:space="preserve">Enfouissement : BFI Lachenaie 840.4 TM  avec siccité moyenne de 28.8 %	_x000D_
Déchet dégrillée: 21.04 TM_x000D_
             déssablée: 17.66 TM_x000D_
Aide coagulant (AE400) : 3000 kg_x000D_
</t>
  </si>
  <si>
    <t xml:space="preserve">Enfouissement : BFI Lachenaie 1075,28 TM  avec siccité moyenne de 28,8%	_x000D_
Déchet dégrillée: 17,60 TM_x000D_
             déssablée: 6,67 TM_x000D_
Aide coagulant (AE400) :  3750 kg_x000D_
</t>
  </si>
  <si>
    <t xml:space="preserve">Enfouissement : BFI Lachenaie 1659.6 TM  avec siccité moyenne de 28,7 %	_x000D_
Déchet dégrillée: 14.94 TM_x000D_
             déssablée: 13.92 TM_x000D_
Aide coagulant (AE400) : 4500 kg_x000D_
</t>
  </si>
  <si>
    <t xml:space="preserve">Enfouissement : BFI Lachenaie 2540,4 TM  avec siccité moyenne de 27,9 %	_x000D_
Déchet dégrillée: 24,2 TM_x000D_
             déssablée: 30.7 TM_x000D_
Aide coagulant (AE400) : 3750 kg_x000D_
</t>
  </si>
  <si>
    <t xml:space="preserve">Enfouissement : BFI Lachenaie 2736.9 TM  avec siccité moyenne de 28,4 %	_x000D_
Déchet dégrillée: 18.2 TM_x000D_
             déssablée: 15.3 TM_x000D_
     _x000D_
Aide coagulant (AE400) : 3000 kg_x000D_
_x000D_
</t>
  </si>
  <si>
    <t xml:space="preserve">Enfouissement : BFI Lachenaie 1089.5 TM  avec siccité moyenne de 26.2 %	_x000D_
Déchet dégrillée: 24.65 TM_x000D_
             déssablée: 15.78 TM_x000D_
Aide coagulant (AE400) : 4500 kg_x000D_
</t>
  </si>
  <si>
    <t xml:space="preserve">Enfouissement : BFI Lachenaie 883.51 TM  avec siccité moyenne de 26.9 %	_x000D_
Déchet dégrillée: 50.68 TM_x000D_
             déssablée: 17.69TM_x000D_
Aide coagulant (AE400) : 1500 kg_x000D_
</t>
  </si>
  <si>
    <t xml:space="preserve">Enfouissement : BFI Lachenaie 1628.82 TM  avec siccité moyenne de 28,7 %	_x000D_
Déchet dégrillée: 23.82 TM_x000D_
             déssablée: 23.62 TM_x000D_
Déchet sécheur: 12.3 TM_x000D_
Aide coagulant (AE400) : 2250 kg_x000D_
_x000D_
</t>
  </si>
  <si>
    <t xml:space="preserve">Enfouissement : BFI Lachenaie 1912.3 TM  avec siccité moyenne de 27.2 %	_x000D_
Déchet dégrillée: 6.83 TM_x000D_
             déssablée: 26.85 TM_x000D_
Aide coagulant (AE400) : 3000 kg_x000D_
</t>
  </si>
  <si>
    <t xml:space="preserve">Enfouissement : BFI Lachenaie 1335.1 TM  avec siccité moyenne de 26,8 %	_x000D_
Déchet dégrillée: 26.8 TM_x000D_
             déssablée: 22.1 TM_x000D_
           _x000D_
Aide coagulant (AE400) : 3000 kg_x000D_
</t>
  </si>
  <si>
    <t xml:space="preserve">Enfouissement : BFI Lachenaie 777 TM  avec siccité moyenne de 27.2 %	_x000D_
Déchet dégrillée: 13.11 TM_x000D_
             déssablée: 9.52 TM_x000D_
Aide coagulant (AE400) : 3000 kg_x000D_
</t>
  </si>
  <si>
    <t xml:space="preserve">Enfouissement : BFI Lachenaie 726.7 TM  avec siccité moyenne de 27.7 %	_x000D_
Déchet dégrillée: 3.1 m3_x000D_
             déssablée: 3,7 m3_x000D_
</t>
  </si>
  <si>
    <t xml:space="preserve">Enfouissement : BFI Lachenaie 612.4 TM  avec siccité moyenne de 27.5 %	_x000D_
Déchet dégrillée: 3.0 m3_x000D_
             déssablée: 3.3 m3_x000D_
</t>
  </si>
  <si>
    <t xml:space="preserve">Enfouissement : BFI Lachenaie 728.1 TM  avec siccité moyenne de 27.9 %	_x000D_
Déchet dégrillée: 3,3 m3_x000D_
             déssablée: 4,5 m3_x000D_
</t>
  </si>
  <si>
    <t xml:space="preserve">Enfouissement : BFI Lachenaie 745.1 TM  avec siccité moyenne de 30.3 %	_x000D_
Déchet dégrillée: 2.7 m3_x000D_
             déssablée: 3.8 m3_x000D_
</t>
  </si>
  <si>
    <t xml:space="preserve">Enfouissement : BFI Lachenaie 821,6 TM  avec siccité moyenne de 29,3 %	_x000D_
Déchet dégrillée: 3,4 m3_x000D_
             déssablée: 3,6 m3_x000D_
</t>
  </si>
  <si>
    <t xml:space="preserve">Enfouissement : BFI Lachenaie 730.5 TM  avec siccité moyenne de 28,5 %	_x000D_
Déchet dégrillée: 2.7 m3_x000D_
             déssablée: 3.1 m3_x000D_
</t>
  </si>
  <si>
    <t xml:space="preserve">Enfouissement : BFI Lachenaie 620.1 TM  avec siccité moyenne de 30 %	_x000D_
Déchet dégrillée: 3,4 m3_x000D_
             déssablée: 4,2 m3_x000D_
</t>
  </si>
  <si>
    <t xml:space="preserve">Enfouissement : BFI Lachenaie 692.3 TM  avec siccité moyenne de 27.3%	_x000D_
Déchet dégrillée: 2,0 m3_x000D_
             déssablée: 3.4 m3_x000D_
</t>
  </si>
  <si>
    <t xml:space="preserve">Enfouissement : BFI Lachenaie 542 TM  avec siccité moyenne de 29.0 %	_x000D_
Déchet dégrillée: 2.6 m3_x000D_
             déssablée: 3.9 m3_x000D_
</t>
  </si>
  <si>
    <t xml:space="preserve">Enfouissement : BFI Lachenaie 615.8 TM  avec siccité moyenne de 29,1 %	_x000D_
Déchet dégrillée: 2.8 m3_x000D_
             déssablée: 3.3 m3_x000D_
</t>
  </si>
  <si>
    <t xml:space="preserve">Enfouissement : BFI Lachenaie 603.7 TM  avec siccité moyenne de 29 %	_x000D_
Déchet dégrillée: 1.5 m3_x000D_
             déssablée: 2.3 m3_x000D_
</t>
  </si>
  <si>
    <t xml:space="preserve">Enfouissement : BFI Lachenaie 617.5 TM  avec siccité moyenne de 30,1 %	_x000D_
Déchet dégrillée: 3.2 m3_x000D_
             déssablée: 4.6 m3_x000D_
</t>
  </si>
  <si>
    <t>Ouvrage municipal d'assainissement des eaux usées de Les Eboulements</t>
  </si>
  <si>
    <t>Les boues placées dans les géo tubes proviennent de l`étang numéro 2. Le bassin a été vidangé du 18 au 26 septembre 2023 à l`aide d`une pompe agricole. Notez que le bassin avait préalablement été rabaissé pour retirer le surplus d`eau. Durant la vidange. des polymères étaient ajoutés au boues pour permettre la coagulation de celle-ci et permettre un meilleur séchage et une manipulation plus simple lors de la reprise une fois déshydratées. Au total ont estiment qu'entre 130 et 160 mètres cubes de boues ont été retirées du bassin numéro 2. La siccité initiale des boues étaient d`environ 6%.</t>
  </si>
  <si>
    <t>Les boues vidangées les 16 et 17 novembre 2023 proviennent de l`étang 1 de la station. Les bassins ont été vidangés à l`aide d'une pompe agricole, puis chargé dans des citernes à lisier. Notez que le bassin avait été préalablement rabaissé pour retirer le surplus d`eau. Au total ont estiment qu`environ 595 m3 ont été pompés et ont estiment leurs siccités a environ 6%.</t>
  </si>
  <si>
    <t>La disposition de ces boues s`est réalisée par de l`épandage directement au champ les 16 et 17 novembre 2023. Au total ont estiment qu`environ 595 m3 de boue ont été pompées, puis épandues sur les terres agricoles. La siccité de ces boues était estimée à environ 6%. Le tout s`est réalisé dans le respect d`une déclaration de conformité réalisée auprès du MELCCFP au courant de l`année 2023.</t>
  </si>
  <si>
    <t xml:space="preserve">1m3_x000D_
</t>
  </si>
  <si>
    <t>Extraction dans le bassin #3_x000D_
Début 16-08-2023_x000D_
Fin 21-08-2023_x000D_
Déshydratation mécanique_x000D_
Siccité moyenne 38%_x000D_
Quantité : 200 TMS</t>
  </si>
  <si>
    <t>Revalorisation : _x000D_
Extraction dans le bassin #3_x000D_
Début 16-08-2023_x000D_
Fin 21-08-2023_x000D_
Déshydratation mécanique_x000D_
Siccité moyenne 38%_x000D_
Lieu de disposition: Ferme FNicole Faucher 6819 rue Pierre Auger Montréal et Ferme Jaeggi inc 1895, route 161 Saint Valère._x000D_
Quantité : 200 TMS</t>
  </si>
  <si>
    <t>Ouvrage municipal d'assainissement des eaux usées de Lévis (Saint-Étienne)</t>
  </si>
  <si>
    <t>Extraction dans le bassin #3_x000D_
Début le 26 aout 2023_x000D_
Fin le 10 septembre 2023_x000D_
Déshydratation mécanique._x000D_
Quantité soutirée : 300 TMS_x000D_
Siccité moyenne: 26%</t>
  </si>
  <si>
    <t>Extraction dans le bassin #3_x000D_
Début le 26 aout 2023_x000D_
Fin le 10 septembre 2023_x000D_
Déshydratation mécanique_x000D_
Quantité soutirée : 300TMS_x000D_
Siccité moyenne: 26%_x000D_
Lieu: Les boues sont entreposées sur le lit de séchage des étangs de Lévis. L'adresse de disposition finale sera inscrite lors de l'épandage.</t>
  </si>
  <si>
    <t>Extraction de boue du 26 aout au 10 septembre _x000D_
Bassin #3_x000D_
Quantité soutirée: 300 tonnes métrique_x000D_
26% de siccité_x000D_
Entreposé sur le lit de séchage de RIAD</t>
  </si>
  <si>
    <t>Extraction dans le bassin #3 Début le 26 aout 2023 Fin le 10 septembre 2023 Déshydratation mécanique Quantité soutirée : 300TMS Siccité moyenne: 26% Lieu: Les boues sont entreposées sur le lit de séchage des étangs de Lévis. L'adresse de disposition finale sera inscrite lors de l'épandage.</t>
  </si>
  <si>
    <t>Entreposage des boues aux champs et valorisation agricole.  613,33 TM à une siccité moyenne de 18,8%. Disposition au besoin chez Englobe (Compost du Québec à St-Henri).</t>
  </si>
  <si>
    <t>Entreposage des boues aux champs et valorisation agricole. 521,61 TM à une siccité moyenne de 19,3%. Disposition au besoin chez Englobe (Compost du Québec à St-Henri).</t>
  </si>
  <si>
    <t xml:space="preserve">Entreposage des boues aux champs et valorisation agricole.  568,15 TM à une siccité moyenne de 19,9 %. Disposition au besoin chez Englobe (Compost du Québec à St-Henri)._x000D_
</t>
  </si>
  <si>
    <t>Entreposage des boues aux champs et valorisation agricole. 445,96 TM à une siccité moyenne de 21,14 %. Disposition au besoin chez Englobe (Compost du Québec à St-Henri).</t>
  </si>
  <si>
    <t>Entreposage des boues aux champs et valorisation agricole.  518,23 TM à une siccité moyenne de 19%. Disposition au besoin chez Englobe (Compost du Québec à St-Henri).</t>
  </si>
  <si>
    <t>Entreposage des boues aux champs et valorisation agricole. 477,8 TM à une siccité moyenne de 17,4%. Disposition au besoin chez Englobe (Compost du Québec à St-Henri).</t>
  </si>
  <si>
    <t>Entreposage des boues aux champs et valorisation agricole. 518 TM à une siccité moyenne de %19.4. Disposition au besoin chez Englobe (Compost du Québec à St-Henri).</t>
  </si>
  <si>
    <t>Entreposage des boues aux champs et valorisation agricole. 583,77 TM à une siccité moyenne de 19,1%. Disposition au besoin chez Englobe (Compost du Québec à St-Henri).</t>
  </si>
  <si>
    <t>Entreposage des boues aux champs et valorisation agricole.  509,86TM à une siccité moyenne de 18,1%. Disposition au besoin chez Englobe (Compost du Québec à St-Henri).</t>
  </si>
  <si>
    <t>Entreposage des boues aux champs et valorisation agricole. 519,06TM à une siccité moyenne de 18,4%. Disposition au besoin chez Englobe (Compost du Québec à St-Henri).</t>
  </si>
  <si>
    <t xml:space="preserve">Entreposage des boues aux champs et valorisation agricole. 635,53TM à une siccité moyenne de 18,4%. Disposition au besoin chez Englobe (Compost du Québec à St-Henri)._x000D_
</t>
  </si>
  <si>
    <t>Entreposage des boues aux champs et valorisation agricole. 535,18TM à une siccité moyenne de 18,23%. Disposition au besoin chez Englobe (Compost du Québec à St-Henri).</t>
  </si>
  <si>
    <t>Extraction dans le bassin #3_x000D_
Déshydratation mécanique_x000D_
Début: 19-08-2023_x000D_
Fin: 29-08-2023_x000D_
Siccité moyenne : 29.5%_x000D_
Quantité : 604 TMS</t>
  </si>
  <si>
    <t>Extraction dans le bassin #3_x000D_
Déshydratation mécanique_x000D_
Lieu: Ferme porcine Alco inc, 17, rang 1, Saint-Janvier-de-Joly_x000D_
Début: 19-08-2023_x000D_
Fin: 29-08-2023_x000D_
Siccité moyenne : 29.5%_x000D_
Quantité : 604 TMS</t>
  </si>
  <si>
    <t xml:space="preserve">Les informations ne sont pas encore disponibles, elles seront complétées dès l'obtention de celles-ci. </t>
  </si>
  <si>
    <t xml:space="preserve">Une vidange des boues a eu lieu dans les bassins 3A et 3B. Une réouverture pour inscription des informations sera faite dès l'obtention de toutes les données nécessaires. </t>
  </si>
  <si>
    <t>Ouvrage municipal d'assainissement des eaux usées de Lévis (Val-des-Bois)</t>
  </si>
  <si>
    <t>Vidange de la fosse septique, 15 m3 d'eau et de boues évacués par camion vacuum.</t>
  </si>
  <si>
    <t xml:space="preserve">Les boues ont été rejetées en tête de filière de traitement aux étangs du secteur Desjardins. </t>
  </si>
  <si>
    <t>Aucune boue comptabilisée puisqu'elles ont été acheminées à l'ouvrage municipal d'assainissement des eaux usées de Lévis (station Desjardins)</t>
  </si>
  <si>
    <t>Les boues sont disposée en tranché comme toujours 1.6 m cubes</t>
  </si>
  <si>
    <t>La disposition se fait au LEET (+/-) 1,5 m3</t>
  </si>
  <si>
    <t>La disposition ce fait au LEET (+/-) 0.65m3</t>
  </si>
  <si>
    <t>Les boues sont disposé au LEET (+/-) 0.65m3</t>
  </si>
  <si>
    <t>La disposition des boues ce fait au site d'enfouissement (+/-) 0.65m3</t>
  </si>
  <si>
    <t>La disposition des boues ce fait au site d'enfouissement à raison de +/- 0.65m3</t>
  </si>
  <si>
    <t>La disposition des boues sont effectué au site d'enfouissement +/- 65m3</t>
  </si>
  <si>
    <t>129.34 TM à 22% de siccité moyenne envoyé par camion et géré par Agrobiosol.</t>
  </si>
  <si>
    <t>113.45 TM à 21% de siccité moyenne. _x000D_
Envoyé dans une benne par camion et géré par Agrobiosol.</t>
  </si>
  <si>
    <t>117.72 TM à 21% envoyé par camion dans une benne et géré par Agrobiosol.</t>
  </si>
  <si>
    <t>96.98 TM à 22% envoyé par camion dans une benne et géré par Agrobiosol.</t>
  </si>
  <si>
    <t>112.83 TM à 22% de siccité moyenne. Envoyé par camion dans une benne et géré par Agrobiosol.</t>
  </si>
  <si>
    <t>117.33 TM à 23% envoyées par camion dans une benne à boues et gérées par agrobiosol</t>
  </si>
  <si>
    <t>102.88 TM à 22% de siccité envoyé par camion dans une benne et géré par Agriobiosol.</t>
  </si>
  <si>
    <t>108.6 TM à 22% envoyé par camion dans une benne et géré par Agrobiosol.</t>
  </si>
  <si>
    <t>125 TM à 22% envoyer par camion dans une benne et géré par Agrobiosol.</t>
  </si>
  <si>
    <t>123.43 TM à 22% de siccité moyen. Envoyer par camion dans une benne et géré par Agrobiosol.</t>
  </si>
  <si>
    <t>110.43 Tonnes à 21% envoyé par camion dans une benne et géré par Agrobiosol.</t>
  </si>
  <si>
    <t>130.54 tonnes de boues a 21% de siccité envoyé par camion dans une benne géré par Agrobiosol</t>
  </si>
  <si>
    <t>36210 kg de boues ont été envoyé a l'usine Uteau a  Portage du fort</t>
  </si>
  <si>
    <t>vidangé cellule 2 , 20 sept 2023 , fin le 13 nov 2023 , 470m3 approx . siccité pas effectué .environ 4%</t>
  </si>
  <si>
    <t>pomper ds lit de séchage , 470m3 , pas effectuer d analyses de siccité , évaluer a 4%, début 20 sept au 27 oct 2023 ,par pompage .</t>
  </si>
  <si>
    <t>Lors du mois de janvier 2023, une quantité de totale 801 910 kg de MS de boues déshydratées d'une siccité moyenne de 27.5% ont été disposées soit 290 230 kg de MS ont été déshydratées par une centrifugeuse pour l'épandage, 63 612 kg de MS ont été déshydratées par les pressoirs rotatifs de la station d'épuration pour l'épandage et 448 068 kg de MS ont été incinérés à la station d'épuration.</t>
  </si>
  <si>
    <t xml:space="preserve">Lors du mois de février 2022, une quantité approximative de 339 290 kg de MS de boues déshydratées par la station dépuration et dune siccité moyenne de 27.2% ont été disposées soit 339 290 kg de MS par épandage et 307 538 kg de MS par incinération. De plus, 620 941 kg de MS de boue dune siccité moyenne de 26.7% ont été déshydratées par une unité mobile de déshydratation pour être disposées par épandage. </t>
  </si>
  <si>
    <t xml:space="preserve">Lors du mois de mars 2023, un total d'environ 1 017 442 kg de MS de boues déshydratées ont été évacuée de la station d'épuration. Le tout est réparti comme suit : 436 366 kg MS de boues d'une siccité moyenne de 27.4 % ont été incinérées à la station d'épuration,  392 143 kg de MS de boues d'une siccité moyenne de 27.4% ont été déshydratées à l'interne pour l'épandage et finalement 188 913 kg MS de boue d'une siccité moyenne de 26.6% évacuée par une unité mobile extérieure du 14 et le 31 mars 2023. </t>
  </si>
  <si>
    <t xml:space="preserve">Lors du mois d'avril 2023, 457 861 kg de MS de boues déshydratées d'une siccité moyenne de 28.3% de ont été incinérés à la station d'épuration. De plus, environ 516 704 kg de MS de boues déshydratées d'une siccité moyenne de 28.2% ont été disposées par épandage, incluant 337 484 kg de MS de boues déshydratées par une unité mobile de déshydratation. </t>
  </si>
  <si>
    <t xml:space="preserve">Lors du mois de mai 2023, un total de 1 217 930 kg de MS d'une siccité moyenne de 29.1% ont été disposés soit 702 592 kg de MS qui ont été incinérées à la station d'épuration et 515 338 kg de MS a été disposée par épandage. Parmi les boues épandues,  305 718 kg de MS ont été déshydratées par une unité mobile de déshydratation et 209 620 kg de MS ont été déshydratées par les pressoirs rotatifs de la station d'épuration._x000D_
</t>
  </si>
  <si>
    <t xml:space="preserve">Lors du mois de juin 2023, un total de 1294 tonnes de MS de boues déshydratées d'une siccité moyenne de 30,9% ont été disposées soit 366.64 tonne de MS par incinération à la station d'épuration et 928 tonnes de MS par épandage agricole. Les boues épandues ont été déshydratées à la fois par les pressoirs internes de l'usine et par une unité mobile de déshydratation. </t>
  </si>
  <si>
    <t xml:space="preserve">Lors du mois de juillet 2023, un total de 786 162 kg de MS de boues déshydratées ont été disposées soit 278 293 kg MS d'une siccité moyenne de 33% ont été incinérées à la station d'épuration et 507 869 kg MS d'une siccité moyenne de 30% ont été épandues. Les boues épandues ont été déshydratées soit par les pressoirs internes de l'usine, soit par une unité mobile de déshydratation. _x000D_
</t>
  </si>
  <si>
    <t xml:space="preserve">Lors du mois d'août 2023, environ 1 117 007 kg de MS de boues déshydratées d'une siccité moyenne estimée à 28.2% ont été disposés soit environ 354 509 kg MS par incinération à la station d'épuration et  environ 762 499 kg de MS par épandage. Parmi les boues épandues, environ  505 000 kg de MS ont été déshydratées par une unité d'appoint. </t>
  </si>
  <si>
    <t xml:space="preserve">Lors du mois de septembre 2023, environ 1 140 592 kg de MS de boues déshydratées ont été été évacuées d'une siccité approximative de 28%. Environ 262 212 kg de MS ont été incinérés à la station d'épuration et 878 380 kg de MS ont été épandues, incluant 429 120 kg de MS par une centrifugeuse opérée par la firme GFL et environ 449 260 kg de MS déshydratés par les pressoirs internes et externe de la station d'épuration. </t>
  </si>
  <si>
    <t xml:space="preserve">Lors du mois d'octobre 2023, un total d'environ 1 275 368 kg de MS de boues déshydratées d'une siccité moyenne de 28.8 % ont été évacuées soit environ 653 382 kg de MS ont été incinérées et 621 986 kg de MS ont été épandues. </t>
  </si>
  <si>
    <t xml:space="preserve">Lors du mois de novembre 2023, une quantité totale d'environ 1 266 315 kg de MS de boues déshydratées d'une siccité moyenne de 27.9% ont été éliminée soit environ 578 431 kg de MS par incinération à la station d'épuration et environ 687 884 kg de MS par épandage. La quantité épandue a été déshydratée par des pressoirs internes et un pressoir externe. </t>
  </si>
  <si>
    <t>Pour le mois de décembre 2023, 969287 kg(m.s) d'une siccité moyenne de 28.9% ont été disposées, parmi celle-ci 453204 kg (m.s) ont été incinérés, alors que 516083 kg (m.s) ont été épandues.</t>
  </si>
  <si>
    <t>Nettoyer cellule # 4 le début des travaux 2023-11-04 et la fin des travaux 2023-11-14,la méthode utilisé est succion et placer dans des sacs entreposer sur le terrain, la quantité_x000D_
est 212.58 Tm cellule # 4 la moyenne est de 2.59% en siccité.</t>
  </si>
  <si>
    <t>Pour valorisation plus tard</t>
  </si>
  <si>
    <t>22409 kg de boue produite à une siccité moyenne de 18.1%. Les boues sont valorisées par la firme viridis.</t>
  </si>
  <si>
    <t>24228kg de boue à une siccité moyenne de 17.1%.  Envoyé en valorisation par la firme Viridis</t>
  </si>
  <si>
    <t>346250kg de boue à une siccité moyenne de 17.3% valorisé par la firme Viridis</t>
  </si>
  <si>
    <t xml:space="preserve">230 050 Kg de boue à une siccité moyen de 17.8% envoyé en valorisation par la firme Viridis. </t>
  </si>
  <si>
    <t>Les boue sont valorisées par la firme Viridis.  195 040 KG de boue valorisé à une siccité moyenne de 20%</t>
  </si>
  <si>
    <t>Les boues sont valorisées par la firme viridis. 187450 kilos à une siccité moyenne de 19.0%</t>
  </si>
  <si>
    <t>nous avons valorisé 150470kg de boue à une siccité moyenne de 20.4% avec la firme viridis.</t>
  </si>
  <si>
    <t>69530kg de boue à une siccité moyenne de 20.1%. Valorisé par la firme Viridis.</t>
  </si>
  <si>
    <t>146070 kilo de boue valorisé par la firme Viridis à une siccité moyenne de 19.40%</t>
  </si>
  <si>
    <t>10520 kilogrammes de boue valorisé par la firme Viridis à une siccité moyenne de 19.3%</t>
  </si>
  <si>
    <t xml:space="preserve">55 670 Kg de boue à une siccité moyenne de 18.9% ont été valorisé par la firme Viridis. </t>
  </si>
  <si>
    <t xml:space="preserve">269090 kilogrammes de boue valorisé par la firme Viridis </t>
  </si>
  <si>
    <t>Ouvrage municipal d'assainissement des eaux usées de Maniwaki</t>
  </si>
  <si>
    <t>Maniwaki</t>
  </si>
  <si>
    <t xml:space="preserve">Soutirage de 5102,5 m3 de boues du 13 au 19 juillet de l'étang #1 ,déshydratation dans géo-tube, la siccité moyenne est de5,64  % </t>
  </si>
  <si>
    <t>Nous avons disposé de 96.47 tonnes métriques de boues de déshydratation et d'une siccité de 16.3 % en valorisation agricole chez Dominic Girard  568 Route 239 St Germain de Grantham.  Nous avons disposé de 1.6m3 de déchets de dessablage et 0.9 m3 de déchets de dégrillage au site de RCI  de Longueuil .</t>
  </si>
  <si>
    <t>On a disposé au mois de février , en valorisation agricole de 66.82 tonnes métriques de boue déshydratée  ayant une siccité de 16.6 % au site de Dominic Girard 568 Route 239 St-Germain de Grantham  . On a disposé aussi de 1.4M3 de sable et 0.8 m3 de déchets chez RCI a Longueuil .</t>
  </si>
  <si>
    <t xml:space="preserve">En valorisation agricole nos avons utilisé 99.95 tonnes métriques d'une siccité moyenne de 16 % . Chez Dominic Girard 568 route 239 St Germain de Grantham  nous avons utilisé 64.6 tonnes métriques et chez Claude  St-Sauveur 1368 10 rang St-Edmond de Grantham nous avons utilisé 35.35 tonnes métriques . Nous avons disposé de 1.4 m3  de sable et 1 m3 de déchets au site de Waste management a Longueuil </t>
  </si>
  <si>
    <t>Nous avons fait de la valorisation agricole des 68.66 tonnes métriques de boue déshydratées , sur la ferme de Claude St-Sauveur au  1368 , 10 rang , St -Edmond de Grantham . La siccité moyenne a été de 16.98 % . Nous avons disposé de 0.9 m3 de sable et 1.1 m3 de déchets au site de RCI a Longueuil .</t>
  </si>
  <si>
    <t>On a disposé  en valorisation agricole de 110 tonnes métriques de boue ayant un siccité moyenne de 16.48%  Chez  Claude St-Sauveur  au 1368 10ieme rang   St-Edmond de Grantham  On a aussi disposé de 0.5 m3 de déchets du dessableurs et 0.9 m3 de déchets du dégrilleur chez Waste Management a Longueuil .</t>
  </si>
  <si>
    <t>On a disposé de 92,3 tonnes métriques de boue déshydratée d'une siccité moyenne de 17.3 % en valorisation agricole Sur la ferme de Claude St-Sauveur au 1368 10ieme rang St-Edmond de Grantham . On a disposé de 2.1 m3 de déchets de dessableur et 1.1m3 de déchets de dégrilleur Chez RCI  a Longueuil .</t>
  </si>
  <si>
    <t xml:space="preserve">On a disposé en valorisation agricole de 83.52 tonnes métriques de boue d'une siccité de 17.1 % sur la ferme de Claude St-Sauveur au 1368 10ieme rang St-Edmond de Grantham._x000D_
De plus on a disposé de 1.0 M3 de déchets de dégrilleur et 2.3 déchets de dessableurs chez RCI  a Longueuil. </t>
  </si>
  <si>
    <t>On a disposée de 108.9 tonnes métriques en valorisation agricole .  La siccité moyenne a été de 17.6 % pour le mois . Le lieu de valorisation est chez Claude St-Sauveur  1368 10 rang St-Edmond de Grantham . On a disposé de 0.9 m3 de déchets de dégrillage et 1.3 m3 de déchets de dessablage Chez RCI a Longueuil .</t>
  </si>
  <si>
    <t xml:space="preserve">Nous avons disposé de 61.43 tonnes métriques  de boues en valorisation Chez Dominic Girard 568 Route 239 a St-Germain de Grantham . La siccité moyenne était de 17.3 % </t>
  </si>
  <si>
    <t>Nous avons disposé de 55.77 tonnes métriques de boue d'une siccité moyenne de 17.4 % en valorisation agricole chez Dominic Gérard au 568 Route 239 à St- Germain de Grantham. Nous avons aussi disposé de 1.1 M3  de déchets de dessablage et 1.1m3 de déchets de dégrillages chez RCI à Longueuil .</t>
  </si>
  <si>
    <t>Nous avons disposé de 50.48 tonnes métriques en valorisation agricole chez Dominic Girard 568 Route 239 St- Germain de Grantham et nous avons disposé de 40.12 tonnes métriques Chez  Gascon 5320 highway 17Alfred  Ontario . La siccité moyenne a été de 16.8% Nous avons envoyé en enfouissement 1.5 M3 de déchets de dessableur et 1.2 M3  de déchets de dégrillages chez Waste Management à Longueuil .</t>
  </si>
  <si>
    <t>On a disposé en valorisation agricole, 81.4 tonnes métrique de boue d'une siccité de 17% . le «site est sur la ferme Gascon au 5320 Highway17 Alfred Ontario . On a disposé de .1m3 de déchets du dessableur et .3 m3 de déchets du dégrilleur chez Waste Management a Longueuil .</t>
  </si>
  <si>
    <t>Nous avons effectué la vidange des boues de notre bassin 2. Le début de la vidange s'est fait le 4 octobre 2023 et s'est terminée le 6 octobre 2023. La méthode utilisé est la Pompe citerne à lisier avec abaissement du niveau d'eau. La quantité de boue retirée est de 1759,3m3. La siccité moyenne des boues est de 9,35%.</t>
  </si>
  <si>
    <t>Nous avons effectué la vidange des boues de notre bassin 2. Le début de la vidange s'est fait le 4 octobre 2023 et s'est terminée le 6 octobre 2023. La méthode utilisé est la Pompe citerne à lisier avec abaissement du niveau d'eau. La quantité de boue retirée est de 1759,3m3. La siccité moyenne des boues est de 9,35%. La disposition est en recyclage agricole dans les exploitations suivantes: Ferme Éric Bouchard et Ferme du Caroussel</t>
  </si>
  <si>
    <t>344652 kg de boue à 21.7% de siccité en valorisation agricole</t>
  </si>
  <si>
    <t>353429.6 Kg de boue à 21.3% de siccité en valorisation agricole</t>
  </si>
  <si>
    <t>339965.5Kg de boues à une siccité de 22.5% de moyenne, en valorisation agricole</t>
  </si>
  <si>
    <t>592558.8 Kg de boue à 21.7% en valorisation agricole</t>
  </si>
  <si>
    <t>Valorisation de 567 tm de boues  à 25.7 % de siccité.</t>
  </si>
  <si>
    <t>585655 Kg de boues à une siccité moyenne de 26.4% disposé en valorisation agricole à St-Canut</t>
  </si>
  <si>
    <t>Bassin 1 et 2_x000D_
Du 14 juillet au 6 août_x000D_
Méthode: Déshydratation par centrifugeuse_x000D_
3366.35 TM de matières transportées avec siccité moyenne de 25,9% (laboratoire)</t>
  </si>
  <si>
    <t>Valorisation agricole</t>
  </si>
  <si>
    <t xml:space="preserve">Méthode de disposition : Valorisation agricole _x000D_
Lieu de disposition : RR-8 / RR-22B / RR-L1 / RR-48 /RR-57 Robert Raymond_x000D_
Quantité des boues évacuées TM : 1578 TM_x000D_
Siccité moyenne des boues évacuée en % : 30 %_x000D_
Identification du bassin ou de la cellule : Lit de séchage 1-2-3 et 4_x000D_
Date de début et date de fin de la disposition des boues : 24  25  28 août - 13 septembre 2023_x000D_
Méthode utilisée pour la disposition des boues  : Transport par camion semi-remorque et 10 roues_x000D_
_x000D_
</t>
  </si>
  <si>
    <t xml:space="preserve">Identification du bassin : Étang 4, Date de début et de fin de la vidange : 5 septembre 2023 au 6 octobre 2023, méthode utilisée : Par pompage (Vidange complète de l'étang 4) Quantité soutirée en m³ : 3 200 m³, Siccité moyenne des boues soutirées en % : 7.0 % </t>
  </si>
  <si>
    <t>Méthode de disposition : Valorisation agricole Lieu de disposition : RR-8 / RR-22B / RR-L1 / RR-48 /RR-57 Robert Raymond Quantité des boues évacuées TM : 1578 TM Siccité moyenne des boues évacuée en % : 30 % Identification du bassin ou de la cellule : Lit de séchage 1-2-3 et 4 Date de début et date de fin de la disposition des boues : 24  25  28 août - 13 septembre 2023 Méthode utilisée pour la disposition des boues : Transport par camion semi-remorque et 10 roues</t>
  </si>
  <si>
    <t>Quantité prise en compte dans tonnage saisi au mois d'août.</t>
  </si>
  <si>
    <t>Étang 4 : Date de début et de fin de la vidange : 5 septembre 2023 au 6 octobre 2023, méthode utilisée : Par pompage (Vidange complète de l'étang 4) Quantité soutirée en m³     : 3 200 m³, Siccité moyenne des boues soutirées en % : 7.0 %</t>
  </si>
  <si>
    <t>Ouvrage municipal d'assainissement des eaux usées de Montmagny</t>
  </si>
  <si>
    <t>42 m³ de boue à 77% sortie des lits de séchage, le 18 mai, avec un chargeur pour emplir deux camions qui ont livrés les boue déshydratées à l'entrepôt CTTMR de la compagnie VIRIDIS à Bécancour. Les boues avaient été pompées de l'étang#1 vers les lits de séchage à l'automne 2022.</t>
  </si>
  <si>
    <t>Dragage des boues de l'étang#1 vers le lit de séchage A, le 4,5,7 juin. Pompé environ 1500 m3 à 3%.</t>
  </si>
  <si>
    <t>Dragage des boues étang #1, 11 et 12 juillet, environ 1000 m³ à 3,5% pompé dans le lits de séchage A.</t>
  </si>
  <si>
    <t>Dragage de l'étang#1 vers les lits de séchage, 16-17-23-24 août, 2100 m³à environ 3,5 %.</t>
  </si>
  <si>
    <t>vidange des lits de séchage pour valorisation agricole de 123,08 t à 59% à Ste-Euphémie (Viridis), le 21 août</t>
  </si>
  <si>
    <t>Dragage de l'étang #1 le 20 et 21 septembre pour 1080 m³ à 3.2 % vers les lits de séchage</t>
  </si>
  <si>
    <t>Vidange des lits de séchage A et B pour de la valorisation agricole à Ste-Euphémie (Viridis). Le 11 et 12 septembre pour 63,34 t à 60,9%.</t>
  </si>
  <si>
    <t>Dragage de l'étang #1, le 11-12-17-24-30-31 octobre. Environ 540 m³  à 3% pompés vers les lits de séchage.</t>
  </si>
  <si>
    <t xml:space="preserve">2994.03 tonnes de cendres ont été enfouies au LET de la Station._x000D_
</t>
  </si>
  <si>
    <t>3 118 tonnes humide de cendres à l'enfouissement du LET de la Station d'épuration,  77 tonnes humide de Fertili Cendres en recyclage agricole et 553 tonnes humide de gâteaux à l'enfouissement au LET du complexe Enviro-Connexion,</t>
  </si>
  <si>
    <t>Au courant du mois de mars :_x000D_
- Enfouissement de 3801 tonnes métriques de cendres humides (siccité moyenne environ 62%) au LET de la Ville de Montréal._x000D_
- Valorisation de 957 tonnes métriques de cendres humides (siccité moyenne environ 59%) en épandage agricole.</t>
  </si>
  <si>
    <t>3721 tonnes de cendres ont été enfouies au LET de la station.</t>
  </si>
  <si>
    <t xml:space="preserve">Valorisation de 507 tonnes métriques de cendres humides (siccité moyenne environ 64%) en épandage agricole._x000D_
Enfouissement de 3833 tonnes métriques de cendres humides (siccité moyenne environ 66%) au LET de la Station d'épuration._x000D_
</t>
  </si>
  <si>
    <t xml:space="preserve">Valorisation de 1597 tonnes métriques de cendres humides (siccité moyenne environ 67%) en épandage agricole._x000D_
Enfouissement de 4487 tonnes métriques de cendres humides (siccité moyenne environ 64 %) au LET de la Station d'épuration Jean-R. Marcotte._x000D_
_x000D_
_x000D_
</t>
  </si>
  <si>
    <t xml:space="preserve">Valorisation de 544.2 tonnes métriques de cendres humides (siccité moyenne environ 74%) en épandage agricole._x000D_
Enfouissement de 5596 tonnes métriques de cendres humides (siccité moyenne environ 67%) au LET Jean-R. Marcotte._x000D_
</t>
  </si>
  <si>
    <t>Enfouissement de 3571 tonnes métriques de cendres humides (siccité moyenne d'environ 66 %) au LET Jean-R. Marcotte.</t>
  </si>
  <si>
    <t>Enfouissement de 2764 tonnes métriques de cendres humides (siccité moyenne environ 65 %) au LET Jean-R. Marcotte_x000D_
Pas de cendres valorisées en septembre</t>
  </si>
  <si>
    <t>Enfouissement de 2718 tonnes métriques de cendres humides (siccité moyenne environ 63 %) au LET Jean-R. Marcotte.</t>
  </si>
  <si>
    <t>Enfouissement de 2600 tonnes métriques de cendres humides (siccité moyenne environ 61 %) au LET Jean-R. Marcotte.</t>
  </si>
  <si>
    <t>Enfouissement de 3127 tonnes métriques de cendres humides (siccité moyenne environ 65 %) au LET Jean-R. Marcotte.</t>
  </si>
  <si>
    <t>Vidange des boues de l'usine le 15 mars 2023 à la structure de la Ferme Bessette SENC de 369 mètres cube</t>
  </si>
  <si>
    <t>Vidange des boues de l'usine le 14 juin 2023. 10 voyages d'environ 37 TM. Environ 360 mètres cubes ont été vidé et transporté dans les structures de la Ferme R. Bessette SENC et la Ferme G.C.G Goyette SENC</t>
  </si>
  <si>
    <t>Disposition de plus ou moins 360 mètres cube de boues le 14 septembre 2023 dans les structures des fermes G.C.G Goyette SENC et R. Bessette SENC</t>
  </si>
  <si>
    <t>Vidange de  430,56 TM (soit environ 360 mètres cube) de boues de l'usine d'épuration le 20 décembre dans les structures des fermes R. Bessette SENC et DM Choquette</t>
  </si>
  <si>
    <t>98,43  TM de boues déshydratées par un filtre à bandes avec une siccité moyenne de 17.9 %, soit 17.6  TMS, valorisées par la firme Viridis à Mirabel</t>
  </si>
  <si>
    <t>91,35 TM de boues déshydratées par un filtre à bandes avec une siccité moyenne de 18,25 %, soit 16,67 TMS, valorisées par la firme Viridis à Mirabel</t>
  </si>
  <si>
    <t>110.55 TM de boues déshydratées par un filtre à bandes avec une siccité moyenne de 17.45 %, soit 19.29 TMS, valorisées par la firme Viridis à Mirabel</t>
  </si>
  <si>
    <t>75.08 TM de boues déshydratées par un filtre à bandes avec une siccité moyenne de 17.39 %, soit 13.05 TMS, valorisées par la firme Viridis à Mirabel</t>
  </si>
  <si>
    <t>109.01 TM de boues déshydratées par un filtre à bandes avec une siccité moyenne de15.94  %, soit 22.72 TMS, valorisées par la firme Viridis à Mirabel</t>
  </si>
  <si>
    <t>114.3 TM de boues déshydratées par un filtre à bandes avec une siccité moyenne de 17.35 %, soit 19.83 TMS, valorisées par la firme Viridis à Mirabel</t>
  </si>
  <si>
    <t>146.43 TM de boues déshydratées par un filtre à bandes avec une siccité moyenne de 16,32 %, soit 23.89 TMS, valorisées par la firme Viridis à Mirabel</t>
  </si>
  <si>
    <t>81.71 TM de boues déshydratées par un filtre à bandes avec une siccité moyenne de 16,11 %, soit 13.16 TMS, valorisées par la firme Viridis à Mirabel</t>
  </si>
  <si>
    <t>81.71 TM de boues déshydratées par un filtre à bandes avec une siccité moyenne de 16,35 %, soit 13.35 TMS, valorisées par la firme Viridis à Mirabel</t>
  </si>
  <si>
    <t>75.07 TM de boues déshydratées par un filtre à bandes avec une siccité moyenne de 16,44%, soit 12.34 TMS, valorisées par la firme Viridis à Mirabel</t>
  </si>
  <si>
    <t>88.21 TM de boues déshydratées par un filtre à bandes avec une siccité moyenne de 16,48 %, soit 18.38 TMS, valorisées par la firme Viridis à Mirabel</t>
  </si>
  <si>
    <t>130.45 TM de boues déshydratées par un filtre à bandes avec une siccité moyenne de 16,39 %, soit 21.34 TMS, valorisées par la firme Viridis à Mirabel</t>
  </si>
  <si>
    <t>La quantité de boues est de 146.25 tonnes et la siccité de 6%. Les 2 bassins sont vidés par camion vacuum et les boues sont transportés au site du RIRT. La vidange a débuté le 6 mars et s'est terminée le 9 mars.</t>
  </si>
  <si>
    <t>Bien qu'il soit indiqué que les boues aient été acheminées à la Régie intermunicipale de la région de Thetford, le mode de disposition n'est pas connu.</t>
  </si>
  <si>
    <t>La quantité de boues est de 272.54 tonnes et le 1re bassin fut vidé par camion vacuum du 10 au 14 juillet. Le deuxième bassin fut vidé par camion vacuum du 17 au 21 juillet. Les boues sont acheminées au site de la régie inter-municipale de la région de Thedford. La siccité moyenne est de 6 %.</t>
  </si>
  <si>
    <t>Les boues dont la quantité est de 211 tonnes sont transportées par camion vacuum au site de la régie inter-municipale de Thetford. Les 2 bassins sont vidés et les dates sont du 14 novembre au 21 novembre. La siccité est de 6 %.</t>
  </si>
  <si>
    <t xml:space="preserve">les boues sont pomper a partir des bassins de digestions ,par la suite ils sont mélangées avec un polymère passé dans un filtre a bande tombent dans une vise sans fin et déverser dans un conteneur qui est transporter a Gaspé dans un site denfouissement pour le mois de juin du 27 juin jusqu'aux 30 juin 2023 , il y a eu 4m3 de boues avec une siccité de 15 %  . </t>
  </si>
  <si>
    <t xml:space="preserve">les boues des digesteurs sont pompées et mélangé avec un polymère puis pas sur un filtre a bande , tombent dans une vise sans fin et tombe ensuite  dans un conteneur , par la suite transporté vers Gaspé sur un site d'enfouissement . Début le 3 juillet 2023 au 31 juillet 2023 , la quantité de boue évacuée 32 m3 avec un siccité moyenne de 15,2% </t>
  </si>
  <si>
    <t xml:space="preserve">les boues sont disposée dans un centre denfouissement a Gaspé pour le mois du 1 au 31 août  d'août 31 m3 de boues ont été évacués avec une siccité moyenne de 15% la méthode pour évacuer c'est les boues c'est elles sont pompé avec une pompe et mélangé avec un polymère et passe sur une bande pour en faire sortir le maximum de liquide et tombe dans une vise sans fin et tombe dans un conteneur </t>
  </si>
  <si>
    <t xml:space="preserve">les boues sont amenées a Gaspé et étendue sur un terrain . Pour le mois de septembre 20 m3 ont été évacué avec une siccité de 14 % de moyenne . Les boues évacué viennent de 2 digesteurs , les boues évacuées du digesteurs 1 et 2 ont commencé du 1 au 28 septembre et cela c'est fait avec la méthode de polymère mélangé avec les boues et passé sur un filtre a bande et tombe sur une vise sans fin qui amène la boues dans un conteneur . </t>
  </si>
  <si>
    <t xml:space="preserve">les boues sont pompées des digesteurs 1 et 2 avec une pompe a vises et par la suite mélangé avec un polymère passer sur un filtre a bande et tombe sur une vise sans fin et tombe dans un conteneur par la suite amener dans un site a Gaspé  le pourcentage de siccité moyenne  est de 14 %  et la quantité de boues évacuée est de 9  m3 du 2 /10/2023 au 19 /10 /2023 </t>
  </si>
  <si>
    <t>Ouvrage municipal d'assainissement des eaux usées de Pierreville</t>
  </si>
  <si>
    <t>Pierreville</t>
  </si>
  <si>
    <t>IL S`INSTAL ET COMMENCE A VIDÉ LE 22 SEPTEMBRE 2023</t>
  </si>
  <si>
    <t>PAR LA COMPAGNIE QUI A LE CONTRA GFL</t>
  </si>
  <si>
    <t>VIDANGE DU 21/09 AU 30/09 2023  ÉTANG NO 1 : 308,00 TMS.  POMPAGE,CONDITIONNEMENT,DÉSHYDRATATION, TRANSPORT ET RECYCLAGE AGRICOLE.</t>
  </si>
  <si>
    <t>211,34 TMS CHER FERME M.C. 3000 INC.  96,65 TMS CHER DONALD LEMIRE.</t>
  </si>
  <si>
    <t xml:space="preserve">VIDANGE DU 01/10 AU 06/10.  ETANG NO 1: 13,05TMS  ETANG NO 2: 139.29TMS. </t>
  </si>
  <si>
    <t>68,50 TMS CHER DONALD LEMIRE.   83,84 TMS CHER FERME COLOMBE.</t>
  </si>
  <si>
    <t xml:space="preserve">valorisation agriculture, Ferme R. Bessette, Ferme Lebeuf, 185,4 tmh a 17,1%, boue activée, pressoir rotatif fournier </t>
  </si>
  <si>
    <t>Pressage par pressoir rotatif,  valorisation agricole  Ferme Leboeuf, Ferme ruisseau mirabel et Charle Boulerice. 1060 M3 a 19.0 % pour 153.89 TMH.</t>
  </si>
  <si>
    <t>184.71 Tonnes de boues, traitées par pressoir rotatif.  Siccité moyenne de 17.6%.  Disposées chez Mondou et D.M Choquette.</t>
  </si>
  <si>
    <t>Valorisation agricole, Les fermes Lebec inc., 117.29tmh a 17.5% de moyenne, boue activée, pressoir rotatif.</t>
  </si>
  <si>
    <t>Valorisation agriculture, Les fermes Lebec inc, Les fermes Charron, 212.35 tmh,  a 18,00%, boue activée, pressoir rotatif.</t>
  </si>
  <si>
    <t xml:space="preserve">Valorisation agricole, Ferme charron, Ferme Lebec et Gazonire Bastien et fils.   168.26 tonnes de boues traitées par pressoir rotatif.  Siccité moyenne de 20.02%.  </t>
  </si>
  <si>
    <t>Fosse agricole, Les Fermes Lebec, 185.05tmh a 16.1%, boue activée, pressoir rotatif fournier.</t>
  </si>
  <si>
    <t>Valorisation agricole, Les Fermes Lebec Inc et Ferme Viau Inc, 178.92 thm à 19.1% siccité moyenne, boue activée, pressoir rotatif.</t>
  </si>
  <si>
    <t>159.9 Tonnes de boues, traitées par pressoir rotatif. Siccité moyenne de18.6%.  Disposées chez ;  Les fermes Lebec, Ferme R. Bessette, Ferme agricole Huna et à la gazonnière Bastien et fils INC.</t>
  </si>
  <si>
    <t xml:space="preserve">valorisation agricole à Ferme R. Bessette S.E.N.C. et Gazonnière Bastien et fils inc. et DM choquette. 175.54 tmh à 17,8% de siccité moyenne. Boue activée, pressoir rotatif fournier. </t>
  </si>
  <si>
    <t xml:space="preserve">valorisation agricole , DM Choquette/Structure , Gazonnière Bastien et fils inc. , 150.51 tm , 18.5% , Boue activé , Pressoir rotatif </t>
  </si>
  <si>
    <t>152.76 Tonnes de boues traitées par pressoir rotatif.  Siccité moyenne de 16.8%.  Disposition ; Ferme Réal et Renée Ryan, puis Ferme R. Bessette.</t>
  </si>
  <si>
    <t>bassin septique municipale de Piopolis_x000D_
début et fin de la vidange le 26 05 2023. Vidange effectuée par camion  vacuum de sanitaire denis fortier._x000D_
vidange de 130 mètres cubes</t>
  </si>
  <si>
    <t>bassin septique municipale de Piopolis_x000D_
boues évacuées par camion vacuum au site de traitement a Lac-Mégantic._x000D_
130 mètres cubes_x000D_
le tout fait le 26 05 2023</t>
  </si>
  <si>
    <t xml:space="preserve">début et fin de la vidange le 26 octobre 2023_x000D_
bassin septique principal municipal_x000D_
vidange de 128 mètres cubes par camion vacuum_x000D_
</t>
  </si>
  <si>
    <t>boues transportée par camion citerne au site de la Régie inter municipale de la région de Thetford Mines_x000D_
128 mètres cubes de boues du bassin municipale principal</t>
  </si>
  <si>
    <t>bassin decantation d'alun_x000D_
début et fin de la vidange le 17 novembre 2023_x000D_
vidange par camion vacuum.  34 mètres cubes soutirée</t>
  </si>
  <si>
    <t>17 novembre 2023 début et fin de la vidange_x000D_
bassin d'décantation ALUN_x000D_
transport par camion citerne au lieu de traitement de la Régie intermunicipale de la région de Thetford_x000D_
34 mètres cubes de boues</t>
  </si>
  <si>
    <t>Ouvrage municipal d'assainissement des eaux usées de Pont-Rouge (Grand-Remous)</t>
  </si>
  <si>
    <t>Pont-Rouge</t>
  </si>
  <si>
    <t>Soutirage des boues fait le 28 septembre 2023 par le camion vacuum de Sani-Orléans. Dans la station de pompage des eaux traitées et dans les 3 couverts des réacteurs ( A,B,C), principalement de l'écume dans ces 3 couverts.</t>
  </si>
  <si>
    <t>Le camion de Sani-Orléans a disposé des boues dans l'étang no. 1 des bassins Pleau. La quantité estimée est d'environ 1 à 1 1/2 mètre cube.</t>
  </si>
  <si>
    <t>Aucune boue comptabilisée. Il a été présumé qu'elles ont été acheminées vers un autre ouvrage municipal d'assainissement des eaux usées.</t>
  </si>
  <si>
    <t>Étang numéro 3, 2023-09-05 au 2023-09-12, dragage, pompage, déshydratation et disposition des boues, 162.69 TMS étang 3, 19.95 %</t>
  </si>
  <si>
    <t>Valorisation agricole, Ferme Desjardins S.E.N.C., 162.69 TMS, 19.95 %, étang numéro 3, 2023-09-05 au 2023-09-12, dragage, pompage, déshydratation et disposition des boues.</t>
  </si>
  <si>
    <t xml:space="preserve">Boues pompées de lOuest pompées vers station Est épaissies puis pompées vers incinérateur pour déshydratation_x000D_
La disposition finale des cendres ou des boues déshydratés s'effectue au LEVQ de Saint-Joachim (50, route 138). Exceptionnellement du 25 au 31 janvier certain quantités des boues brutes sont pompées vers CBMO pour la déshydratation puis expédiées au site Bécancour par viridis et englobe. Quantité évacuée vers l'incinérateur et CBMO: 40995 m3  _x000D_
Siccité moyenne : 3,87 %_x000D_
N.B. : Cette quantité comprend les boues des stations Est et Ouest et CBMO combinées_x000D_
</t>
  </si>
  <si>
    <t>Les boues soutirées ont été transposées en tonnes de matières sèches, puis ramenées à 20 % de siccité. Elles sont comptabilisées sous "Biométhanisation" puisque le mode de disposition des digestats n'est pas connu.</t>
  </si>
  <si>
    <t xml:space="preserve">Boues pompées de lOuest pompées vers station Est épaissies puis pompées vers incinérateur pour déshydratation_x000D_
La disposition finale des cendres ou des boues déshydratés s'effectue au LEVQ de Saint-Joachim (50, route 138). Exceptionnellement du 16 au 24 février, certain quantités des boues brutes sont pompées vers CBMO pour la déshydratation puis expédiées au site Bécancour par viridis et englobe. _x000D_
Quantité évacuée vers l'incinérateur et CBMO: 38906 m3  _x000D_
Siccité moyenne : 4,01%_x000D_
N.B. : Cette quantité comprend les boues des stations Est et Ouest combinées_x000D_
</t>
  </si>
  <si>
    <t>Boues pompées de lOuest pompées vers station Est épaissies puis pompées vers incinérateur pour déshydratation_x000D_
La disposition finale des cendres ou des boues déshydratés s'effectue au LEVQ de Saint-Joachim (50, route 138). Exceptionnellement du 07 au 09 mars, certaines quantités des boues brutes sont pompées vers CBMO pour la déshydratation puis expédiées au site Bécancour par viridis et englobe. _x000D_
Quantité évacuée vers l'incinérateur et CBMO: 41318 m3  _x000D_
Siccité moyenne : 4,02%_x000D_
N.B. : Cette quantité comprend les boues des stations Est et Ouest combinées</t>
  </si>
  <si>
    <t xml:space="preserve">Boues pompées de lOuest pompées vers station Est épaissies puis pompées vers incinérateur pour déshydratation_x000D_
La disposition finale des cendres ou des boues déshydratés s'effectue au LEVQ de Saint-Joachim (50, route 138). Exceptionnellement le24 et le 25 avril 2023, certaines quantités des boues brutes sont pompées vers CBMO pour la déshydratation puis expédiées au site Bécancour par viridis et englobe. _x000D_
Quantité évacuée vers l'incinérateur et CBMO: 44664 m3  _x000D_
Siccité moyenne : 4,31%_x000D_
N.B. : Cette quantité comprend les boues des stations Est et Ouest combinées._x000D_
</t>
  </si>
  <si>
    <t xml:space="preserve">Boues pompées de lOuest pompées vers station Est épaissies puis pompées vers incinérateur pour déshydratation_x000D_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44628 m3  _x000D_
Siccité moyenne : 4.57 %_x000D_
N.B. : Cette quantité comprend les boues des stations Est et Ouest combinées._x000D_
</t>
  </si>
  <si>
    <t>Boues pompées de lOuest pompées vers station Est épaissies puis pompées vers incinérateur pour déshydratation_x000D_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37387 m3  _x000D_
Siccité moyenne : 5.81 %_x000D_
N.B. : Cette quantité comprend les boues des stations Est et Ouest combinées.</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</si>
  <si>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36086 m3  _x000D_
Siccité moyenne : 5.47 %_x000D_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</si>
  <si>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34038 m3  _x000D_
Siccité moyenne : 4.82 %_x000D_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</si>
  <si>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36123 m3  _x000D_
Siccité moyenne : 4.99 %_x000D_
N.B. : Cette quantité comprend les boues des stations Est et Ouest combinées._x000D_
</t>
  </si>
  <si>
    <t>n.a</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</si>
  <si>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37066 m3  _x000D_
Siccité moyenne : 5.25 %_x000D_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</si>
  <si>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32514,97 m3  _x000D_
Siccité moyenne : 4.87 %_x000D_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</si>
  <si>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37839.64 m3  _x000D_
Siccité moyenne : 4.73 %_x000D_
N.B. : Cette quantité comprend les boues des stations Est et Ouest combinées._x000D_
</t>
  </si>
  <si>
    <t xml:space="preserve">Boues pompées de lOuest pompées vers station Est épaissies puis pompées vers incinérateur pour déshydratation_x000D_
La disposition finale des cendres ou des boues déshydratés s'effectue au LEVQ de Saint-Joachim (50, route 138). Exceptionnellement du 25 au 31 janvier certain quantités des boues brutes sont pompées vers CBMO pour la déshydratation puis expédiées au site Bécancour par viridis et englobe. _x000D_
Quantité évacuée vers l'incinérateur et CBMO: 40995 m3  _x000D_
Siccité moyenne : 3,87 %_x000D_
N.B. : Cette quantité comprend les boues des stations Est et Ouest combinées_x000D_
</t>
  </si>
  <si>
    <t xml:space="preserve">Boues pompées de lOuest pompées vers station Est épaissies puis pompées vers incinérateur pour déshydratation_x000D_
La disposition finale des cendres ou des boues déshydratés s'effectue au LEVQ de Saint-Joachim (50, route 138). Exceptionnellement du 16 au 24 février, certaines quantités des boues brutes sont pompées vers CBMO pour la déshydratation puis expédiées au site Bécancour par viridis et englobe. _x000D_
Quantité évacuée vers l'incinérateur et CBMO: 38906 m3  _x000D_
Siccité moyenne : 4,01%_x000D_
N.B. : Cette quantité comprend les boues des stations Est et Ouest combinées_x000D_
</t>
  </si>
  <si>
    <t xml:space="preserve">Boues pompées de lOuest pompées vers station Est épaissies puis pompées vers incinérateur pour déshydratation_x000D_
La disposition finale des cendres ou des boues déshydratés s'effectue au LEVQ de Saint-Joachim (50, route 138). Exceptionnellement du 07 au 09 mars, certaines quantités des boues brutes sont pompées vers CBMO pour la déshydratation puis expédiées au site Bécancour par viridis et englobe. _x000D_
Quantité évacuée vers l'incinérateur et CBMO: 41318 m3  _x000D_
Siccité moyenne : 4,02%_x000D_
N.B. : Cette quantité comprend les boues des stations Est et Ouest combinées_x000D_
</t>
  </si>
  <si>
    <t xml:space="preserve">Boues pompées de lOuest pompées vers station Est épaissies puis pompées vers incinérateur pour déshydratation_x000D_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37387 m3  _x000D_
Siccité moyenne : 5.81 %_x000D_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</si>
  <si>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34038 m3  _x000D_
Siccité moyenne : 4.82 %_x000D_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</si>
  <si>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36132 m3  _x000D_
Siccité moyenne : 4.99 %_x000D_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</si>
  <si>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37066 m3  _x000D_
Siccité moyenne : 5.25 %_x000D_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</si>
  <si>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37839.64m3  _x000D_
Siccité moyenne : 4.73 %_x000D_
N.B. : Cette quantité comprend les boues des stations Est et Ouest combinées._x000D_
</t>
  </si>
  <si>
    <t>Ouvrage municipal d'assainissement des eaux usées de Racine</t>
  </si>
  <si>
    <t>Racine</t>
  </si>
  <si>
    <t>Vidange effectuée du 26 au 28 juillet par la compagnie Terra Vestra_x000D_
Dans l'étangs #2 cellule 1 et 2 _x000D_
Dragage par succion dans l'entièreté des cellules. Dosage polymère et sac géotube pour séchage des boue _x000D_
Quantité: 32.48 TMS_x000D_
Siccité: information a venir</t>
  </si>
  <si>
    <t>Valorisation agricole / JMV Environnement / 370,2 tonnes métriques de biosolides évacués / Siccité moyenne de 37,79%</t>
  </si>
  <si>
    <t>VALORISATION AGRICOLE / JMV ENVIRONNEMENT / 306,1 TONNES MÉTRIQUES DE BIOSOLIDES ÉVACUÉS / SICCITÉ MOYENNE DE 33,04 %</t>
  </si>
  <si>
    <t>VALORISATION AGRICOLE / JMV ENVIRONNEMENT / 396,2 TONNES MÉTRIQUES DE BIOSOLIDES ÉVACUÉS / SICCITÉ MOYENNE DE 31.4%</t>
  </si>
  <si>
    <t>VALORISATION AGRICOLE / JMV ENVIRONNEMENT / 392,7 TONNES MÉTRIQUES ÉVACUÉES / SICCITÉ MOYENNE DE 39,9 %</t>
  </si>
  <si>
    <t>VALORISATION AGRICOLE / JMV ENVIRONNEMENT / 378 TONNES MÉTRIQUES ÉVACUÉES / SICCITÉ MOYENNE DE 37,2%</t>
  </si>
  <si>
    <t>VALORISATION AGRICOLE / JMV ENVIRONNEMENT / 281,1 TONNES MÉTRIQUES ÉVACUÉES / SICCITÉ MOYENNE DE 33,46%</t>
  </si>
  <si>
    <t>VALORISATION AGRICOLE / JMV ENVIRONNEMENT / 485,4 TONNES MÉTRIQUES ÉVACUÉES / SICCITÉ MOYENNE DE 37,6%</t>
  </si>
  <si>
    <t>VALORISATION AGRICOLE / JMV ENVIRONNEMENT / 509,4 TONNES MÉTRIQUES ÉVACUÉES / SICCITÉ MOYENNE DE 38,20%</t>
  </si>
  <si>
    <t>VALORISATION AGRICOLE / JMV ENVIRONNEMENT / 381,7 TONNES MÉTRIQUES DE BIOSOLIDES ÉVACUÉES / SICCITÉ MOYENNE DE 35,42%</t>
  </si>
  <si>
    <t>VALORISATION AGRICOLE / JMV ENVIRONNEMENT / 381,7 TONNES MÉTRIQUES ÉVACUÉES / SICCITÉ MOYENNE DE 30,9%</t>
  </si>
  <si>
    <t>VALORISATION AGRICOLE / JMV ENVIRONNEMENT / 508,9 TONNES MÉTRIQUES DE BIOSOLIDES ÉVACUÉS / SICCITÉ MOYENNE DE 30,1%</t>
  </si>
  <si>
    <t>VALORISATION AGRICOLE / JMV ENVIRONNEMENT / 465 TONNES MÉTRIQUES DE BIOSOLIDES ÉVACUÉS / SICCITÉ MOYENNE DE 35,1 %</t>
  </si>
  <si>
    <t xml:space="preserve">Vidange du bassin no 3, du 13 au 23 juillet._x000D_
Pompage des boues par dragage. Déshydratation des boues dans des sacs poreux._x000D_
Quantité des boues : 86 TMS (3074 m³). Siccité moyenne des boues : 2.8%._x000D_
</t>
  </si>
  <si>
    <t>En processus de vidange...</t>
  </si>
  <si>
    <t>Vidange de l'étang no 1 du 26 juin au 3 juillet._x000D_
Pompage des boues par dragage. Déshydratation des boues dans des sacs poreux._x000D_
Quantité des boues : 90 TMS (3719 m³). Siccité moyenne des boues 2.4%.</t>
  </si>
  <si>
    <t>Pompage d'environ 34 m3 de boues le 22 mars 2023 (eau/boue) dans la fosse par un camion vacuum.  Siccité d'environ 2-3 %.  Disposition à notre bassin d'accumulation des boues de notre station du 100 des Viornes.  Retraitement des eaux usées et épaississement des boues in situ.</t>
  </si>
  <si>
    <t>Pompage d'environ 45 m3 d'un mélange d'eau et de boue à l'aide d'un vacuum truck.  Siccité d'environ 3%.  Disposition à la station du 100 des viornes à Rivière-Beaudette.</t>
  </si>
  <si>
    <t>Disposition à la station du 100 des viornes à Rivière-Beaudette.</t>
  </si>
  <si>
    <t>Pompage d'environ 22 m3 d'eau et de boue (fond de la fosse).  Siccité d'environ 3.6%.</t>
  </si>
  <si>
    <t>Disposition des 22 m3 d'eaux usées à notre station de la Pointe-Lalonde...traitement in situ.</t>
  </si>
  <si>
    <t>Ouvrage municipal d'assainissement des eaux usées de Rivière-Beaudette (Pointe-Lalonde)</t>
  </si>
  <si>
    <t>Accumulation des boues dans le bassin des boues.  Déshydratation in situ.</t>
  </si>
  <si>
    <t>Le 11 juillet 2023, nous avons vidangé le bassin des boues à l'aide d'un vacuum truck.  Un total de 27 m3 de boue a été pompée, avec une siccité d'environ 12%.  Cette boue a été envoyée à la station d'épuration de la Ville de Valleyfield pour fin de traitement.</t>
  </si>
  <si>
    <t>Un total de 27 m3 de boue a été pompée, avec une siccité d'environ 12%.  Cette boue a été envoyée à la station d'épuration de la Ville de Valleyfield pour fin de traitement.</t>
  </si>
  <si>
    <t xml:space="preserve">Le 21 mars 2023, nous avons vidé la fosse a boue à l'aide d'un camion écureur. Le début et la fin de la vidange ont été effectués le même jour. Nous avons vidangé 4,917 m3 de boue avec une siccité moyenne de 1%. Les boues ont été disposés dans les bassins de la STEP de Rouyn-Noranda._x000D_
</t>
  </si>
  <si>
    <t>Aucune boue comptabilisée puisqu'elles ont été acheminées à l'ouvrage municipal d'assainissement des eaux usées de Rouyn-Noranda (Noranda-Nord)</t>
  </si>
  <si>
    <t>Le 30 août, nous avons vidé la fosse septique à l'aide d'un camion écureur. Le début et la fin de la vidange ont été effectués le même jour. Nous avons vidangé 6,146 m3 de boue à une siccité moyenne de 2,6 %. ceux-ci ont été vidangées dans nos étangs de Rouyn-Noranda donc non disposé.</t>
  </si>
  <si>
    <t>Le 7 septembre, nous avons vidé la fosse septique à l'aide d'un camion écureur. Le début et la fin de la vidange ont été effectués le même jour. Nous avons vidangé 6,146 m3 de boue à une siccité moyenne de 1.7 %. Les boues extraites ont été vidangées dans nos étangs de Rouyn-Noranda donc non disposé.</t>
  </si>
  <si>
    <t>Ouvrage municipal d'assainissement des eaux usées de Rouyn-Noranda (Évain)</t>
  </si>
  <si>
    <t>La vidange des boues a été réalisée dans le bassin 1 et 3, du 22 juillet au 2 août 2023. La méthode utilisée : soutirage par dragage des boues, suivi d'une déshydratation par géotube (100% des boues).  Le tout est entreposé directement sur le site._x000D_
Total des boues solides soutirées et stockées dans les géotubes provenant du bassin 1 : 4451,70m3 avec une siccité moyenne de 3,17% _x000D_
Total des boues solides soutirées et stockées dans les géotubes provenant du bassin 3 : 1991,73m3 avec une siccité moyenne de 5,52%</t>
  </si>
  <si>
    <t xml:space="preserve">La vidange des boues a été réalisée dans le bassin 1 et 3, du 22 juillet au 2 août 2023. La méthode utilisée : soutirage par dragage des boues, suivi d'une déshydratation par géotube (100% des boues).  Le tout est entreposé directement sur le site._x000D_
Total des boues solides soutirées et stockées dans les géotubes provenant du bassin 1 : 4451,70m3 avec une siccité moyenne de 3,17% _x000D_
Total des boues solides soutirées et stockées dans les géotubes provenant du bassin 3 : 1991,73m3 avec une siccité moyenne de 5,52%_x000D_
_x000D_
</t>
  </si>
  <si>
    <t>Ouvrage municipal d'assainissement des eaux usées de Rouyn-Noranda (Noranda-Nord)</t>
  </si>
  <si>
    <t>La vidange des boues a été réalisée dans le bassin 1 et 3, du 6 au 19 juillet 2023. La méthode utilisée : soutirage par dragage des boues, suivi d'une déshydratation par géotube (100% des boues).  Le tout est entreposé directement sur le site._x000D_
Total des boues solides soutirées et stockées dans les géotubes provenant du bassin 1 : 2765,2m3 avec une siccité moyenne de 3,04% _x000D_
Total des boues solides soutirées et stockées dans les géotubes provenant du bassin 3 : 2521,09m3 avec une siccité moyenne de 6,36%</t>
  </si>
  <si>
    <t xml:space="preserve">Compostage . Lieu Sanidro _x000D_
Quantité: 1074 T.M. et siccité de 15.6%_x000D_
</t>
  </si>
  <si>
    <t xml:space="preserve">Compostage . Lieu Sanidro _x000D_
Quantité: 915 T.M. et siccité de 15.8 %_x000D_
</t>
  </si>
  <si>
    <t xml:space="preserve">Compostage  (agriculteur). Lieu Sanidro_x000D_
Quantité: 1166.42 T.M. et siccité de 16%_x000D_
_x000D_
_x000D_
</t>
  </si>
  <si>
    <t xml:space="preserve">Compostage et valorisation agricole (agriculteur). Lieu Sanidro et champs agricole. _x000D_
Quantité: 915.96 T.M. et siccité de 16.5 %_x000D_
</t>
  </si>
  <si>
    <t xml:space="preserve">Compostage et valorisation agricole (agriculteur). Lieu Sanidro et champs agricole. _x000D_
Quantité: 2057 T.M. et siccité de 14.9%_x000D_
</t>
  </si>
  <si>
    <t xml:space="preserve">Compostage et valorisation agricole (agriculteur). Lieu Sanidro et champs agricole. _x000D_
Quantité: 1089.11 T.M. et siccité de 14.8 %_x000D_
</t>
  </si>
  <si>
    <t xml:space="preserve">Compostage et valorisation agricole (agriculteur). Lieu Sanidro et champs agricole. _x000D_
Quantité: 945.85 T.M. et siccité de 16.4 %_x000D_
</t>
  </si>
  <si>
    <t xml:space="preserve">Compostage et valorisation agricole (agriculteur). Lieu Sanidro et champs agricole. _x000D_
Quantité: 984.7 T.M. et siccité de 15.5%_x000D_
</t>
  </si>
  <si>
    <t xml:space="preserve">Compostage et valorisation agricole (agriculteur). Lieu Sanidro et champs agricole. _x000D_
Quantité: 884.48 T.M. et siccité de 15.4%_x000D_
_x000D_
</t>
  </si>
  <si>
    <t xml:space="preserve">Compostage et valorisation agricole (agriculteur). Lieu Sanidro et champs agricole. _x000D_
Quantité: 884.48 T.M. et siccité de 15%_x000D_
</t>
  </si>
  <si>
    <t xml:space="preserve">Compostage et valorisation agricole (agriculteur). Lieu Sanidro et champs agricole. _x000D_
Quantité: 1011.72 T.M. et siccité de 14.9%_x000D_
</t>
  </si>
  <si>
    <t xml:space="preserve">Compostage et valorisation agricole (agriculteur). Lieu Sanidro et champs agricole. _x000D_
Quantité: 970.83 T.M. et siccité de 14.2 %_x000D_
</t>
  </si>
  <si>
    <t>Les boues sont acheminées par voyage (N=69 ) chez Sanidro ,le volume du mois est de 894.17 m³. La siccité est de 12.9 % traiter du lundi au vendredi par trois F A B ,deux dégrémont (à air) et un mabarex (hydraulique)</t>
  </si>
  <si>
    <t>Les boues sont acheminées par voyage (N=49 ) chez Sanidro ,le volume du mois est de 867.86 m³. La siccité est de 13.09 % traiter du lundi au vendredi par trois F A B ,deux dégrémont (à air) et un mabarex (hydraulique)</t>
  </si>
  <si>
    <t>Les boues sont acheminées par voyage (N=74) pour l'enfouissement vers Sanidro. Le volume du mois est de 868.25 m³ pour une siccité moyenne de 14.30 % traité du lundi au vendredi par trois filtres à bande, deux Degrémont (à air) et un Mabarex (hydraulique).</t>
  </si>
  <si>
    <t xml:space="preserve">_x000D_
Les boues sont acheminées par voyage (N=58) pour la valorisation dans les champs . Le volume du mois est de 572m³ pour une siccité moyenne de 15.95% traité du lundi au vendredi par trois filtres à bande, deux Degrémont (à air) et un Mabarex (hydraulique)._x000D_
</t>
  </si>
  <si>
    <t>Les boues sont acheminer par voyage (N=56 ) vers Valorisation agricole et Sanidro ,volume du mois est 776 m³ ,dune siccité de 15.1 % traiter du lundi au vendredi par trois F A B ,deux dégrémont (à air) et un Mabarex (hydraulique) .</t>
  </si>
  <si>
    <t>Les boues ont été considérées comme ayant une densité de 0,8 tonne/m3 pour transposer le volume en tonnage.
En raison du manque de précision, le tonnage a été réparti également entre "Épandage agricole" et "Mode de recyclage non précisé".</t>
  </si>
  <si>
    <t>Les boues sont acheminées par voyage (N=72) pour l'enfouissement vers Sanidro. Le volume du mois est de 919 m³ pour une siccité moyenne de 14.2 % traité du lundi au vendredi par trois filtres à bande, deux Degrémont (à air) et un Mabarex (hydraulique).</t>
  </si>
  <si>
    <t>Les boues sont acheminées par voyage (N=49) pour l'enfouissement vers Sanidro. Le volume du mois est de 642 m³ pour une siccité moyenne de 14.65 % traité du lundi au vendredi par trois filtres à bande, deux Degrémont (à air) et un Mabarex (hydraulique).</t>
  </si>
  <si>
    <t xml:space="preserve">Les boues sont acheminées par voyage (N=52) vers la valorisation agricole ainsi que vers Sanidro. Le volume du mois est de 688 m³ pour une siccité moyenne de 14.4 % traité du lundi au vendredi par trois filtres à bande, deux Degrémont (à air) et un Mabarex (hydraulique)._x000D_
_x000D_
</t>
  </si>
  <si>
    <t>Les boues sont acheminées par voyage (N=46) pour les champs et l'enfouissement vers Sanidro. Le volume du mois est de 627 m³ pour une siccité moyenne de 13.9 % traité du lundi au vendredi par trois filtres à bande, deux Degrémont (à air) et un Mabarex (hydraulique).</t>
  </si>
  <si>
    <t>Les boues sont acheminées par voyage (N=52 ) vers Valorisation agricole et sanidro ,volume du mois est 712 m³ ,dune siccité de 13.6 % traiter du lundi au vendredi par trois F A B ,deux degrémont (à air) et un mabarex (hydraulique) .</t>
  </si>
  <si>
    <t xml:space="preserve">_x000D_
Les boues sont acheminées par voyage (N=57) pour l'enfouissement vers Sanidro. Le volume du mois est de 748m³ pour une siccité moyenne de 14.51 % traité du lundi au vendredi par trois filtres à bande, deux Degrémont (à air) et un Mabarex (hydraulique)._x000D_
_x000D_
</t>
  </si>
  <si>
    <t>Les boues sont acheminées par voyage (N=58) pour l'enfouissement vers Sanidro. Le volume du mois est de 842.3 m³ pour une siccité moyenne de 14.48 % traité du lundi au vendredi par trois filtres à bande, deux Degrémont (à air) et un Mabarex (hydraulique).</t>
  </si>
  <si>
    <t>Les boues sont déshydratées du lundi au vendredi par un filtre à bande et les boues sont transportées par camion benne de 14 M3_x000D_
La quantité total de boues déshydratées pour décembre est de 217 M3 à une siccité moyenne de 15.0%</t>
  </si>
  <si>
    <t>En raison du manque de précision, le tonnage a été comptabilisé sous "Mode de disposition non précisé". Les boues ont été considérées comme ayant une densité de 0,8 tonne/m3 pour transposer le volume en tonnage.</t>
  </si>
  <si>
    <t>Les boues sont déshydratées du lundi au vendredi par un filtre à bande et les boues sont transportées par camion benne de 14 M3_x000D_
La quantité total de boues déshydratées pour décembre est de 258 M3 à une siccité moyenne de 15.5%</t>
  </si>
  <si>
    <t>Les boues sont déshydratées du lundi au vendredi par un filtre à bande et les boues sont transportées par camion benne de 14 M3 La quantité total de boues déshydratées pour Mars est de 276 M3 à une siccité moyenne de 14.1%</t>
  </si>
  <si>
    <t>Les boues sont déshydratées du lundi au vendredi par un filtre à bande et les boues sont transportées par camion benne de 14 M3.  La quantité total de boues déshydratées pour Avril est de 288 M3 à une siccité moyenne de 15.3%</t>
  </si>
  <si>
    <t>Les boues sont déshydratées du lundi au vendredi par un filtre à bande et les boues sont transportées par camion benne de 14 M3. La quantité total de boues déshydratées pour Mai est de 284 M3 à une siccité moyenne de 16.2%</t>
  </si>
  <si>
    <t>Les boues sont déshydratées du lundi au vendredi par un filtre à bande et les boues sont transportées par camion benne de 14 M3. La quantité total de boues déshydratées pour Juin est de 204 M3 à une siccité moyenne de 15.8%</t>
  </si>
  <si>
    <t>Les boues sont déshydratées du lundi au vendredi par un filtre à bande et les boues sont transportées par camion benne de 14 M3. La quantité total de boues déshydratées pour Juillet est de 268 M3 à une siccité moyenne de 16.43%</t>
  </si>
  <si>
    <t>Les boues sont déshydratées du lundi au vendredi par un filtre à bande et les boues sont transportées par camion benne de 14 M3. La quantité total de boues déshydratées pour Août est de 234 M3 à une siccité moyenne de 15.6%</t>
  </si>
  <si>
    <t>Les boues sont déshydratées du lundi au vendredi par un filtre à bande et les boues sont transportées par camion benne de 14 M3. La quantité total de boues déshydratées pour Septembre est de 178 M3 à une siccité moyenne de 16.8%</t>
  </si>
  <si>
    <t>Les boues sont déshydratées du lundi au vendredi par un filtre à bande et les boues sont transportées par camion benne de 14 M3. La quantité total de boues déshydratées pour Octobre est de 194 M3 à une siccité moyenne de 13.5%</t>
  </si>
  <si>
    <t>Les boues sont déshydratées du lundi au vendredi par un filtre à bande et les boues sont transportées par camion benne de 14 M3. La quantité total de boues déshydratées pour Novembre est de 271 M3 à une siccité moyenne de 13.4%</t>
  </si>
  <si>
    <t>Les boues sont déshydratées du lundi au vendredi par un filtre à bande et les boues sont transportées par camion benne de 14 M3. La quantité totale de boues déshydratées pour Décembre est de 244 M3 à une siccité moyenne de 16,77%.</t>
  </si>
  <si>
    <t>Ouvrage municipal d'assainissement des eaux usées de Saguenay (Laterrière)</t>
  </si>
  <si>
    <t>Du 26 au 29 juin, environ 1995 mètres cubes de boues liquides avec une siccité moyenne de 5,31% ont été extraites des trois étangs de la station d'épuration. Les boues ont été prélevées à l'aide d'une pompe à lisier et en retirant d'abord le surnageant. Toutes les boues extraites ont été dégrillées avant d'être chargées dans les camions-citerne.</t>
  </si>
  <si>
    <t>Toutes les boues (1995 m3 à 5,31%) ont été transportées par camion-citerne et disposées dans une fosse à boues chez Sanidro.</t>
  </si>
  <si>
    <t xml:space="preserve">Le tonnage acheminé à Sanidro a été comptabilisé sous "Mode de recyclage non précisé" puisqu'à notre connaissance, toutes les boues de Saguenay sont recyclées. Les boues ont été considérées comme étant liquides ; une densité de 1 tonne/m3 a été utilisée pour transposer le volume en tonnage. </t>
  </si>
  <si>
    <t>Ouvrage municipal d'assainissement des eaux usées de Saguenay (Saint-Jean-Baptiste)</t>
  </si>
  <si>
    <t>L'étang #2 a été asséché et vidangé à l'aide d'une pompe à lisier agricole. 972 m3 de boues liquides à 5,20 % de siccité ont été extraits de l'étang.</t>
  </si>
  <si>
    <t>Les 972 m3 de boues liquides ont été épandues dans les champs de M. Jacques Tremblay.</t>
  </si>
  <si>
    <t>Ouvrage municipal d'assainissement des eaux usées de Saguenay (Shipshaw-Sud)</t>
  </si>
  <si>
    <t>La vidange de l'étang #1 a été faite du 11 au 13 octobre 2023.  1990 m3 de boues ont été soutirées par pompage avec une siccité moyenne de 5,82%</t>
  </si>
  <si>
    <t>La vidange de l'étang #1 a été faite du 11 au 13 octobre 2023.  1990 m3 de boues ont été soutirées par pompage avec une siccité moyenne de 5,82%. Les boues ont été disposé dans le champ de M. Élie-Marie Tremblay au 421 route des sillons, G7O 1C2 par épandage avec une épandeuse à lisier.</t>
  </si>
  <si>
    <t>Ouvrage municipal d'assainissement des eaux usées de Saint-Albert</t>
  </si>
  <si>
    <t>Saint-Albert</t>
  </si>
  <si>
    <t>Vidange des boues des étangs 1 et 2 effectuée du 8 au 12 novembre 2023 par la firme GLF. Par la méthode de déshydratation, il y a eu un total de 56,84 TMS de boues soutirées pour la vidange complète des étangs</t>
  </si>
  <si>
    <t>La disposition a été effectuée par la firme GLF. Un registre est disponible avec les quantités envoyées aux champs.</t>
  </si>
  <si>
    <t>44730 kg de boues disposée chez Simetech Environnement  Inc. avec une siccité moyenne de 12.3%</t>
  </si>
  <si>
    <t>64 330 kg de boues disposée chez Simetech Environnement avec une siccité moyenne de 10.98 %</t>
  </si>
  <si>
    <t>92710 kg de boues disposée chez Simetech Environnement avec une siccité de 10.0 %</t>
  </si>
  <si>
    <t xml:space="preserve">43 720 kg disposée chez Simetech environnement avec une siccité de 10,10%_x000D_
_x000D_
</t>
  </si>
  <si>
    <t>80 160 kg  de boues déshydratées disposées chez Simetech environnement avec une siccité de 10,20%</t>
  </si>
  <si>
    <t>93 500 kg de boues déshydratées disposées chez Simetech environnement avec une siccité de 12.00%.</t>
  </si>
  <si>
    <t>42 700 kg de boues déshydratées disposées chez Simetech environnement avec une siccité de 10.80%.</t>
  </si>
  <si>
    <t>58 570 kg de boues déshydratées disposées chez Simetech environnement avec une siccité de 10.00%</t>
  </si>
  <si>
    <t xml:space="preserve">15 200 kg de boues déshydratées disposées chez Simetech environnement avec une siccité de 10.10%._x000D_
</t>
  </si>
  <si>
    <t>56 160 kg de boues déshydratées disposées chez Simetech environnement avec une siccité de 10.50%.</t>
  </si>
  <si>
    <t>62 960 kg de boues déshydratées disposées chez Simetech environnement avec une siccité de 11.13%.</t>
  </si>
  <si>
    <t>51 070 kg de boues déshydratées disposées chez Simetech environnement avec une siccité de 11.40%.</t>
  </si>
  <si>
    <t>Ouvrage municipal d'assainissement des eaux usées de Saint-Ambroise</t>
  </si>
  <si>
    <t>Saint-Ambroise</t>
  </si>
  <si>
    <t>Vidange de l'étang 2 par la Ferme Donald Vachon_x000D_
Suivi agronomique - environnement: Viridis_x000D_
Responsable: Jacquelin Baril et Nicolas Bouchard_x000D_
13-10-2023: Préparation vidange étang 2_x000D_
14-10-2023: Vidange étang 2; préparation des quais_x000D_
15-10-2023: Vidange et épandage des boues vers le champs avec citerne_x000D_
16-10-2023: Fin des travaux_x000D_
17-10-23: Retour au remplissage de l'étang 2_x000D_
18-10-2023 au 26-10-2023: pas d'écoulement vers la rivière des Aulnaies étang 2; pas encore remplis à la hauteur normale_x000D_
27-10-2023: hauteur atteint à 10h; retour à l'écoulement normal vers la rivière</t>
  </si>
  <si>
    <t>Ouvrage municipal d'assainissement des eaux usées de Saint-André-Avellin</t>
  </si>
  <si>
    <t>Saint-André-Avellin</t>
  </si>
  <si>
    <t>Début de la vidange de boue début octobre. _x000D_
La vidange de boue n'étant pas terminée, toutes les informations demandées seront données et complétées dans le SOMAEU de novembre.</t>
  </si>
  <si>
    <t xml:space="preserve">- bassin numéro 1_x000D_
- date de début : 3 octobre 2023_x000D_
- date de fin : 1 novembre 2023_x000D_
- méthode utilisée : pompage des boues des étangs 1 et 3 par draguage, déshydratation passive des boues._x000D_
- Quantité soutirée étang 1 : 9436 m3 de boue pour 185.81 TMS et 803 m³ de résidus et sable pour 99.80 TMS_x000D_
- Quantité soutirée étang 3 : 1188 m3 de boues pour 26.81 TMS_x000D_
Valeurs des siccités seront détaillées dans le rapport final suivant la validation par le laboratoire accrédité_x000D_
Veuillez noter que les résultats en TMS sont préliminaires, les valeurs finales seront transmises dans le rapport de pompage._x000D_
 _x000D_
</t>
  </si>
  <si>
    <t>Aucune boue considérée comme étant disposée puisqu'elles ont été déshydratées de façon passive et seront disposées ultérieurement.</t>
  </si>
  <si>
    <t xml:space="preserve">Vidange des boues du 29 avril au 17 mai pomper dans des sacs filtrants.     Etang 1  1 sac filtrant avec une siccite moyenne de 6%     Etang 2  3 sacs filtrants avec une siccite moyenne de 5%    Etang 3  2 sacs filtrants avec siccite moyenne de 9 %    Pour ce qui es de la quantite  Etang 1   122.87 tms    Etang 2   186.94 tms   Etang 3   190.35 tms                                                                                                                                                                                   </t>
  </si>
  <si>
    <t>Ouvrage municipal d'assainissement des eaux usées de Saint-Barnabé</t>
  </si>
  <si>
    <t>Saint-Barnabé</t>
  </si>
  <si>
    <t xml:space="preserve">Vidange de 35 tonnes métriques sèches les 17 et 18 octobre 2023 dans les cellules 3 et 4. _x000D_
Retrait par pompe à fumier et disposition par épandage aux champs. _x000D_
Siccité moyenne de 2.2%. </t>
  </si>
  <si>
    <t xml:space="preserve">Épandage au champs de 35 TMS à une siccité moyenne de 2.2% provenant des cellules 3 et 4 les 17 et 18 octobre 2023. </t>
  </si>
  <si>
    <t>La quantité comptabilisée est basée sur les TMS déclarées par l'exploitant, puis ramenée au % moyen de siccité des boues (2,2 %).</t>
  </si>
  <si>
    <t>Ouvrage municipal d'assainissement des eaux usées de Saint-Basile</t>
  </si>
  <si>
    <t>Saint-Basile</t>
  </si>
  <si>
    <t>Date de mesure: 4 mai 2022, Méthode Échosondeur couplé à un gps haute précision (par Écho-tech H2O, déphosphatation à compléter Étang 1: H boue fond: 0.55 m; Vol boues total: 1 711 m³; Vol occupé: 25.5 % Étang 2: H boue fond: 0.32 m; Vol boues total: 1288 m³; Vol occupé: 12.8 % Étang 3: H boue fond: 0.24 m; Vol boues total: 1 173 m³; Vol occupé: 11.7 %</t>
  </si>
  <si>
    <t>Pompage des boues liquides et valorisées directement au champ. 355 m3 de boues à 1,5% de siccité (17 mai 2023)</t>
  </si>
  <si>
    <t>Disposition des boues le 3 novembre 2023, pompées et envoyées dans une structure de Stockage par Viridis. 382 m3 de boues à environ 2% de siccité.</t>
  </si>
  <si>
    <t>45 LTS</t>
  </si>
  <si>
    <t>50 LTS</t>
  </si>
  <si>
    <t>Vidange de la fosse à boue et du bassin de la fosse septique et sous les biodisques.</t>
  </si>
  <si>
    <t>Pompage des bassins par camion vacuum pour un volume total de 2912.39 gallons imp. avec une siccité moyenne de 3.6%.</t>
  </si>
  <si>
    <t>Vidange des boues de l'épaississeur vers le lit de séchage. Volume estimé a 345 m3. Siccité non-disponible.</t>
  </si>
  <si>
    <t>Vidange des boues de l'épaississeur vers le lit de sécharge. Vo.lume estimé a 131 m3. Siccité non-disponible</t>
  </si>
  <si>
    <t>Ouvrage municipal d'assainissement des eaux usées de Saint-Côme-Linière</t>
  </si>
  <si>
    <t>Saint-Côme--Linière</t>
  </si>
  <si>
    <t>Les boues ont été soutiré dans des sacs pour déshydratation gravimétrique. Au total, 112.38 TMS ont été valorisé. La siccité moyenne a été de 23%.</t>
  </si>
  <si>
    <t>Les boues sont utilisés pour épandage dans les champs de culture. Elles ont été disposées le 25 Juin. Au total 112.38 TMS ont été disposé. Siccité moyenne: 23%.</t>
  </si>
  <si>
    <t>Valorisation agricole, 745 rue St-Louis, St-Cyrille de Wendover, 21,25 tonnes métriques, _x000D_
siccité moyenne de 19,0% (boue biologique et septique), _x000D_
pressoir rotatif Fournier, 1er janv. au 31 janv. 2023, par camion dompeur.</t>
  </si>
  <si>
    <t>Valorisation agricole, 745 rue St-Louis, St-Cyrille de Wendover, 26,25 tonnes métriques, _x000D_
siccité moyenne de 19,5% (boue biologique et septique), _x000D_
pressoir rotatif Fournier, 1er fév. au 28 fév. 2023, par camion dompeur.</t>
  </si>
  <si>
    <t>Valorisation agricole, 745 rue St-Louis, St-Cyrille de Wendover, 9.22 tonnes métriques, _x000D_
siccité moyenne de 18.6% (boue biologique et septique), _x000D_
pressoir rotatif Fournier, 1er mars au 31 mars 2023, par camion dompeur.</t>
  </si>
  <si>
    <t>Valorisation agricole, 745 rue St-Louis, St-Cyrille de Wendover, 68.5 tonnes métriques, _x000D_
siccité moyenne de 20.9% (boue biologique et septique), _x000D_
pressoir rotatif Fournier, 1er avr. au 30 avr. 2023, par camion dompeur.</t>
  </si>
  <si>
    <t xml:space="preserve">Valorisation agricole, 745 rue St-Louis, St-Cyrille de Wendover, 143.81 tonnes métriques, _x000D_
siccité moyenne de 29,5% (boue biologique et septique), _x000D_
pressoir rotatif Fournier, 1er mai au 31 mai 2023, par camion dompeur._x000D_
</t>
  </si>
  <si>
    <t>Valorisation agricole, 745 rue St-Louis, St-Cyrille de Wendover, 117 tonnes métriques, _x000D_
siccité moyenne de 33,1% (boue biologique et septique), _x000D_
pressoir rotatif Fournier, 1er juin au 30 juin 2023, par camion dompeur.</t>
  </si>
  <si>
    <t>Valorisation agricole, 745 rue St-Louis, St-Cyrille de Wendover, 106,98 tonnes métriques, _x000D_
siccité moyenne de 24,1% (boue biologique et septique), _x000D_
pressoir rotatif Fournier, 1er juillet au 31 juillet 2023, par camion dompeur.</t>
  </si>
  <si>
    <t>Valorisation agricole, 745 rue St-Louis, St-Cyrille de Wendover, 138,71 tonnes métriques, _x000D_
siccité moyenne de 29,2% (boue biologique et septique), _x000D_
pressoir rotatif Fournier, 1er août au 31 août 2023, par camion dompeur.</t>
  </si>
  <si>
    <t>Valorisation agricole, 745 rue St-Louis, St-Cyrille de Wendover, 117,3 tonnes métriques, _x000D_
siccité moyenne de 31,5% (boue biologique et septique), _x000D_
pressoir rotatif Fournier, 1er sept. au 30 sept. 2023, par camion dompeur.</t>
  </si>
  <si>
    <t>Valorisation agricole, 745 rue St-Louis, St-Cyrille de Wendover, 107,68 tonnes métriques, _x000D_
siccité moyenne de 28,7% (boue biologique et septique), _x000D_
pressoir rotatif Fournier, 1er oct. au 31 oct. 2023, par camion dompeur.</t>
  </si>
  <si>
    <t>Valorisation agricole, 745 rue St-Louis, St-Cyrille de Wendover, 40,17 tonnes métriques, _x000D_
siccité moyenne de 26,9% (boue biologique et septique), _x000D_
pressoir rotatif Fournier, 1er nov. au 30 nov. 2023, par camion dompeur.</t>
  </si>
  <si>
    <t>Valorisation agricole, 745 rue St-Louis, St-Cyrille de Wendover, 11,73 tonnes métriques, _x000D_
siccité moyenne de 25,1% (boue biologique et septique), _x000D_
pressoir rotatif Fournier, 1er déc. au 31 déc. 2023, par camion dompeur.</t>
  </si>
  <si>
    <t>Le 19 octobre 2023&gt; Transport de 19,08 TMS de boue de deux géomembranes entreposées au site de la station d'épuration de usine Brompton depuis 2021, vers les champs 203-16e rang Ste-Anne-du-Sault, QC, G0Z 1C0. voyage #1: 21,61 TM net à une siccité de16%. voyage #2: 26,8 TM net à une siccité de 24%, voyage #3: 23,42 TM net à une siccité de 19%, voyage #4: 20,25 TM net à une siccité 23%.</t>
  </si>
  <si>
    <t>Bassin #4, 6 novembre au 14 novembre, pompage de l'étang dans lit de séchage, 6000 m3, 3 %</t>
  </si>
  <si>
    <t xml:space="preserve">23/08/2023 vidange de 12 m3 par camion vacuum. Disposition par sani protex. 2 % de siccité </t>
  </si>
  <si>
    <t>Sac de déshydratation des boues enlevé avec pelle mécanique, boue envoyée au site enfouissement technique de cacouna 13.34 T. Boue solide. Opération réalisée le 10/08</t>
  </si>
  <si>
    <t>Du 1 janvier au 31 janvier 2023, les boues acheminées du décanteur au bassin d'extraction, sont centrifugées à une siccité de 20%. Au total 60.97 tonnes métriques ont été valorisées par Viridis environnement aux Fermes : Du ruisseau à Mirabel et L'Éclatière.</t>
  </si>
  <si>
    <t xml:space="preserve">Les boues ont été acheminé par Viridis et valorisées sur deux fermes; Ferme de l'Éclatière S.E.N.C et la ferme du Ruisseau Mirabel._x000D_
Il y a été disposé 57.86 tonnes d'une siccité moyenne de 20 %_x000D_
l'extraction des boues a été faite entre le 1 février et le 28 février, du bassin d'emmagasinement et ont été traité par centrifugeuse pour les assécher. </t>
  </si>
  <si>
    <t>Valorisation des boues par Viridis sur les Fermes du Ruisseau  à Mirabel, Ferme de l'Éclatière S.E.N.C. pour une quantité de 74.31 tonne métrique. La siccité a été d'environ de  18.5% des boues extraite du bassin d'emmagasinement par la centrifugeuse cela entre le 1 mars et le 31 mars 2023.</t>
  </si>
  <si>
    <t xml:space="preserve">Disposition des boues par valorisation à la ferme de l'éclatière, il a été disposé 18.54 tonne métrique. La siccité moyenne est de 19%, celle-ci sont extraite du bassin d'extraction par centrifugeuse entre le 1 avril et le 30 avril. </t>
  </si>
  <si>
    <t>Disposition par valorisation des boues, à la ferme de l'éclatière, il y a eu un total de 80,2 tonne métrique de disposé avec une siccité moyenne de 17%, les boues on été évacuée du bassin d'emmagasinement entre le 1 mai et le 31 mai par centrifugeuse.</t>
  </si>
  <si>
    <t>Disposition par valorisation à la ferme de l'Éclatière , il a été disposé 80.2 tonne métrique d'une siccité de  22  % faite par centrifugeuse à partir du bassin d'extraction des boues entre le 1 juin et le 30 juin 2023.</t>
  </si>
  <si>
    <t>Nous avons disposé 67.7 tonne métrique par valorisation à la ferme de l'éclatière . La boue avait une siccité  moyenne de 21 %. Nous avons fait leur déshydratation à partir du bassin d'extraction cela entre le 1 juillet et le 31 juillet et asséché par centrifugeuse.</t>
  </si>
  <si>
    <t>Valorisation à la ferme de l'Éclatière, il a été envoyé 64.28 tonne métrique de boues avec une siccité de   19% déshydraté par centrifugeuse à partir du bassin d'extraction entre le 1 août et le 31 août.</t>
  </si>
  <si>
    <t>Entre le 1 septembre et le 30 septembre il a été disposé 67.5 tonne métrique de boue à la ferme de l'Éclatière pour valorisation. Les boues ont été extraite du bassin d'extraction pour être pressé par centrifugeuse à une siccité moyenne de 20.7%</t>
  </si>
  <si>
    <t>entre le premier octobre et le 31 octobre il a été extrait du bassin d'emmagasinement et déshydraté par centrifugeuse avec une siccité de 19.5% et valorisé par Viridis dans la ferme de l'Éclatière. Au total il a été disposé 64,84 tonne métrique de boues déshydratées .</t>
  </si>
  <si>
    <t>Il a été disposé99.216 tonne métrique de boues par valorisation à la ferme de l'Éclatière et la ferme du Ruisseau à Mirabel, la siccité moyenne a été de 19% des boues soustraite du bassin d'extraction et déshydraté par centrifugeuse entre le 1ier novembre et le 30 novembre.</t>
  </si>
  <si>
    <t>Il a été disposé par valorisation à ferme du Ruisseau à Mirabel, 63.83 tonne métrique à une siccité moyenne de 17.7%  qui on été extraite du bassin d'emmagasinement et déshydraté par centrifugeuse entre le 1 décembre et le 31 décembre 2023</t>
  </si>
  <si>
    <t>Déshydratations quotidienne par Centrifugeuse, disposition ferme lÉclatière S.E.N.S et aussi à la ferme du Ruisseau Mirabel pour la valorisation des boues, quantités disposées 72,09 tonnes métrique humides (THM), avec une siccités moyenne mensuelle de24,7 %. Provenant de l'épaississeur.</t>
  </si>
  <si>
    <t>Déshydratations quotidienne par Centrifugeuse, disposition ferme lÉclatière S.E.N.S et aussi à la ferme Ruisseau Mirabel pour la  valorisation des boues, quantités disposées 79,38 tonnes métrique humides (THM), avec une siccités moyenne mensuelle de 22.7 %. Provenant de l'épaississeur.</t>
  </si>
  <si>
    <t>Déshydratations quotidienne par Centrifugeuse, disposition ferme lÉclatière S.E.N.S et aussi à la ferme Ruisseau Mirabel pour la  valorisation des boues, quantités disposées 82,38 tonnes métrique humides (THM), avec une siccités moyenne mensuelle de 24,3%,  Provenant de l'épaississeur</t>
  </si>
  <si>
    <t>Déshydratations quotidienne par Centrifugeuse, disposition ferme lÉclatière S.E.N.S pour la valorisation des boues, quantités disposées 63,9 tonnes métrique humides (THM), avec une siccités moyenne mensuelle de 25,3 %. Provenant de l'épaississeur.</t>
  </si>
  <si>
    <t>Déshydratations quotidienne par Centrifugeuse, disposition ferme lÉclatière S.E.N.S et aussi à la ferme Martin Charbonneau pour là . de valorisation des boues, quantités disposées 57,85 tonnes métrique humides (THM), avec une siccités moyenne mensuelle de 25,0 %. Provenant de l'épaississeur.</t>
  </si>
  <si>
    <t>Déshydratations quotidienne par Centrifugeuse, disposition ferme lÉclatière S.E.N.S et aussi à la ferme du Ruisseau Mirabel pour la valorisation des boues, quantités disposées 73,52 tonnes métrique humides (THM), avec une siccités moyenne mensuelle de 25,8 %. Provenant de l'épaississeur.</t>
  </si>
  <si>
    <t>Déshydratations quotidienne par Centrifugeuse, disposition ferme Plateforme Ruisseau Mirabel SENC, pour la valorisation des boues, quantités disposées 97,16  tonnes métrique humides (THM), avec une siccités moyenne mensuelle de 28,2 %. Provenant de l'épaississeur.</t>
  </si>
  <si>
    <t>Déshydratations quotidienne par Centrifugeuse, disposition ferme lÉclatière S.E.N.S et Plateforme Ferme du Ruisseau Mirabel pour la valorisation des boues, quantités disposées (92.17 ) tonnes métrique humides (THM), avec une siccités moyenne mensuelle de 26.2 %. Provenant de l'épaississeur.</t>
  </si>
  <si>
    <t>Déshydratations quotidienne par Centrifugeuse, disposition ferme lÉclatière S.E.N.S pour la de valorisation des boues, quantités disposées 77,28 tonnes métrique humides (THM), avec une siccités moyenne mensuelle de 24,1 %. Provenant de l'épaississeur.</t>
  </si>
  <si>
    <t>Déshydratations quotidienne par Centrifugeuse, disposition ferme lÉclatière S.E.N.S pour la de valorisation des boues, quantités disposées 84,41 tonnes métrique humides (THM), avec une siccités moyenne mensuelle de 22,7 %. Provenant de l'épaississeur.</t>
  </si>
  <si>
    <t>Déshydratations quotidienne par Centrifugeuse, disposition ferme lÉclatière S.E.N.S et aussi à la ferme du Ruisseau Mirabel Structure fosse pour la valorisation des boues, quantités disposées 61,71 tonnes métrique humides (THM), avec une siccités moyenne mensuelle de 23,5% Provenant de l'épaississeur.</t>
  </si>
  <si>
    <t>Déshydratations quotidienne par Centrifugeuse, disposition ferme ruisseau Mirabel pour la  valorisation des boues, quantités disposées 74,38 tonnes métrique humides (THM), avec une siccités moyenne mensuelle de 26,6 %. Provenant de l'épaississeur.</t>
  </si>
  <si>
    <t xml:space="preserve">Vidange des géotubes_x000D_
méthode de disposition: Épandage_x000D_
lieu de disposition: 17 Rang 1 Saint-Janvier de Joly, J0S 1M0_x000D_
quantité de boues évacuée: 720 m3 _x000D_
siccité moyenne des boues évacuée: 31,35%_x000D_
identification du bassin ou de la cellule, _x000D_
date de début et de fin de la vidange: 6 au 7 juillet 2023_x000D_
Poids net: 434.49 TM_x000D_
</t>
  </si>
  <si>
    <t>Vidange partielle de la fosse septique FSI - 1 - Principal pour éviter un débordement et pour permettre deffectuer les travaux de nettoyage de la conduite. La vidange sest fait par camion vacuum et la quantité soutirée est 32 m3 avec une siccité moyenne d'environ 3%. La vidange a eu lieu le 25 mai 2023.</t>
  </si>
  <si>
    <t xml:space="preserve">Disposition le 25 mai 2023 de 32 m3 de boue, siccité moyenne d'environ 3%. Lendroit de disposition est la Régie Intermunicipale de Gestion des Déchets de la Région de Coaticook, 1095 chemin Bilodeau à Coaticook. </t>
  </si>
  <si>
    <t>Vidange sélective de la fosse septique FSI-1 - Principal avec camion vacuum sanitaire Juggler. La vidange a eu lieu le 8 novembre 2023 et la quantité soutirée est de 25,26 m3 avec une siccité moyenne des boues d'environs 3%</t>
  </si>
  <si>
    <t>Vidange sélective de la fosse septique FSI-1 - Principal avec camion vacuum sanitaire Juggler. La disposition a eu lieu le 8 novembre 2023 à la Régie Intermunicipale de Gestion des Déchets Solides de la Région de Coaticook au 1095 chemin Bilodeau, Coaticook. La quantité disposée est de 25,26 m3 avec une siccité moyenne des boues d'environs 3%.</t>
  </si>
  <si>
    <t>Les 2 stations de pompage ont été vidées et nettoyées par la compagnie sani orléans le 28 août 2023. 42 tonnes métrique de boue à été pompé.</t>
  </si>
  <si>
    <t>Les boues ont été disposé par la compagnie sani orléans à l'éco-centre de saint-basile le même jour.</t>
  </si>
  <si>
    <t>Transporté hebdomadairement par camion déchet au site d'enfouissement sanitaire de la MRC de Lotbinière, la quantité de boues évacué est de 0.35 m3</t>
  </si>
  <si>
    <t>Transporté hebdomadairement par un camion déchet au site d'enfouissement sanitaire de la MRC de Lotbinière, la quantité de boues évacuée est de 0.65 m3._x000D_
Nous avons un système de dégrillage fin pour le traitement des eaux usées.</t>
  </si>
  <si>
    <t>Transporté hebdomadairement par un camion déchet au site d'enfouissement sanitaire de la MRC de Lotbinière, la quantité de boues évacués est de 0.75 m3._x000D_
Nous avons un système de dégrillage fin pour le traitement des eaux usées.</t>
  </si>
  <si>
    <t xml:space="preserve">Transporté hebdomadairement par un camion déchet au site denfouissement sanitaire de la MRC de Lotbinière, la quantité de boues évacuée est de 0.60 m3._x000D_
Nous avons un système de dégrillage fin pour le traitement des eaux usées._x000D_
</t>
  </si>
  <si>
    <t>Transporté hebdomadairement par un camion déchet au site d'enfouissement sanitaire de la MRC Lotbinière, la quantité de boues évacuée est de 0.60 m3._x000D_
Nous avons un système de dégrillage fin pour le traitement des eux usées.</t>
  </si>
  <si>
    <t xml:space="preserve">Transporté hebdomadairement par un camion déchet au site d'enfouissement sanitaire de la MRC de Lotbinière, la quantité de boues évacuée est de 0.60 m3._x000D_
Nous avons un système de dégrillage fin pour le traitement des eaux usées._x000D_
</t>
  </si>
  <si>
    <t>Transporté hebdomadairement par un camion déchet au site d'enfouissement sanitaire de la MRC de Lotbinière, la quantité de boues évacuée est de 0.60 m3._x000D_
_x000D_
Nous avons un système de dégrillage fin pour le traitement des eaux usées.</t>
  </si>
  <si>
    <t>Transporté hebdomadairement par un camion déchet au site d'enfouissement sanitaire de la MRC de Lotbinière, la quantité  de boues évacuées est de 0.45 m3._x000D_
_x000D_
Nous avons un système de dégrillage fin pour le traitement des eaux usées.</t>
  </si>
  <si>
    <t>Transporté hebdomadairement par un camion déchet au site d'enfouissement sanitaire de la MRC de Lotbinière, la quantité de boues évacuées est de 0.75 m3._x000D_
_x000D_
Nous avons un système de dégrillage fin pour le traitement des eaux usées.</t>
  </si>
  <si>
    <t>Transporté hebdomadairement par un camion déchet au site d'enfouissement sanitaire de la MRC de Lotbinière, la quantité de boues évacuées est de 0.60 m3._x000D_
_x000D_
Nous avons un système de dégrillage fin pour le traitement des eaux usées.</t>
  </si>
  <si>
    <t>Transporté hebdomadairement par un camion déchet au site d'enfouissement sanitaire de la MRC de Lotbinière, la quantité de boue évacuée est de 0.75 m3._x000D_
_x000D_
Nous avons un système de dégrillage fin pour le traitement des eaux usées.</t>
  </si>
  <si>
    <t>Ouvrage municipal d'assainissement des eaux usées de Saint-Édouard</t>
  </si>
  <si>
    <t>Saint-Édouard</t>
  </si>
  <si>
    <t xml:space="preserve">Méthode de disposition: Valorisation_x000D_
Lieu: Ferme B.J.D. SENC située à St-Jacques-Le-Mineur_x000D_
Quantité: 71TMS_x000D_
Siccité moyenne: 21,3%_x000D_
</t>
  </si>
  <si>
    <t>Le 7 et le 19. par vacuum, disposé dans étang #2, total des deux dates environ 110m3, siccité entre 1% et 5%, la date du début et fin des vidanges sont les même soit le 7 et le 19.</t>
  </si>
  <si>
    <t>Le 2 , 16 , 28 , par vacuum, disposée dans étang #2, quantité environ de 150 m3, siccité moyenne entre 1% et 5%, la vidange au complet ce fait dans la même journée.</t>
  </si>
  <si>
    <t xml:space="preserve">Le 16 et le 28, par vacuum, disposé dans étang #2, environ 100 m3 total, siccité entre 1% et 5%, la vidange a été effectué dans la même journée. </t>
  </si>
  <si>
    <t xml:space="preserve">Le 06,11,25 par pompage dans étang #2,130m3 (total), siccité entre 1% et 5%, le tout ce fait dans la même journée. </t>
  </si>
  <si>
    <t xml:space="preserve">Par pompage, dans étang #2, 120 mètres cubes au total, siccité entre 1% et 5 %, la vidange a eu lieu le 09 et le 24 mai, </t>
  </si>
  <si>
    <t xml:space="preserve">Le 13 et le 26.  par pompage dans étang #2, 110 mètres cubes, siccité entre 1% et 5%, </t>
  </si>
  <si>
    <t>Le 6, 18, 27, par pompage dans étang #2, environ 120m3 total. siccité entre 1% et 5%, les vidanges ont été effectuées dans la même journée.</t>
  </si>
  <si>
    <t xml:space="preserve">Le 4, 14, 28, par pompage dans étang #2, 120m3, siccité entre 1% et 5%, le tout la même journée. </t>
  </si>
  <si>
    <t>Par pompage , dans étang #2, environ120m3 au total, siccité entre 1% et 5%, la vidange a été effectuée le 7,18,28 septembre.</t>
  </si>
  <si>
    <t xml:space="preserve">Le 6 et le 16 oct., par pompage dans étang #2, quantité total environ 150 m3 , siccité entre 1% et5%._x000D_
Le tout se fait dans la même journée._x000D_
</t>
  </si>
  <si>
    <t xml:space="preserve">Le 2, 13 et 23 nov. ,par pompage dans étang #2, 90 m3 environ, siccité entre 1% et 5%, les vidanges ont été effectuer dans les même journées. </t>
  </si>
  <si>
    <t>Le 11, 22 déc. par pompage dans étang #2, environ 100 m3 au total, siccité entre 1% et 5%, les vidanges sont faite dans la même journée.</t>
  </si>
  <si>
    <t>60m3 de boue pompé dans une citerne et transporté chez Ecc environnement Acton Vale à environ 4% de siccité je transborde les boue dans un bassin de sédimentation temporaire et j'ai fait 2 voyage ce mois si.</t>
  </si>
  <si>
    <t xml:space="preserve">75m3 de bout  pomper dans un camion citerne transporté chez ECC environnement à Acton Vale  avec une siccité de 6% . Les bout sont pomper du bassin de stockage temporaire (conteneur de sédimentation) pendant la construction de la nouvel station d'épuration.  </t>
  </si>
  <si>
    <t>Non comptabilisé. Semble être un doublon.</t>
  </si>
  <si>
    <t>70 m3 pompé dans une citerne et envoyer chez Ecc environnement à Acton Vale à environ 6% de siccité il y a un bassin de stockage temporaire et on en dispose 2 à 3 fois par mois.</t>
  </si>
  <si>
    <t xml:space="preserve">disposé de 120 m3 de boue transporté par camion citerne cher Ecc environnement à Acton Vale à environ 6% de siccité, il proviens du bassin de  stockage temporaire durant la construction de la nouvel station d'épuration. </t>
  </si>
  <si>
    <t>disposé de 140 m3 pompé dans une citerne envoyer à Acton Vale chez Ecc environnement à une siccité d'environ 6% prise dans le bassin de stockage temporaire  ce qui équivaut à un voyage par semaine.</t>
  </si>
  <si>
    <t>Disposé de 75 m3 de boue pompé dans une citerne envoyer cher Ecc environnement à Acton valle avec environ 6% de siccité pris dans le bassin de stockage temporaire.</t>
  </si>
  <si>
    <t xml:space="preserve">disposé de 70m3 de boue  pompé dans et transporté par camion citerne cher Ecc environnement à Acton Vale avec environ 6% de siccité pris dans le bassin de stockage temporaire  cela équivaut à environ 1 voyage par deux semaines. </t>
  </si>
  <si>
    <t xml:space="preserve">70m3 de disposition pomper dans une citerne envoyer cher Ecc environnement à Acton Vale avec une siccité d'environ 6% pris dans le bassin de stockage temporaire j'en ai environ 2 citerne  par mois à faire </t>
  </si>
  <si>
    <t>Le vidange de l'étang numéro 1 a débuté le 28 novembre 2023, et se terminera en décembre 2023. Du 28 au 30 novembre 1529 TM de boues d'une siccité moyenne de 5.7% ont été soutirées par draguage.</t>
  </si>
  <si>
    <t>Le vidange de l'étang numéro 1 a débuté le 28 novembre 2023, et se terminera en décembre 2023. Du 28 au 30 novembre 233 TM de boues d'une siccité moyenne de 37% ont été envoyées à l'épandage. Cet épandage a eu lieu à la Ferme Jacques et Sylvain Laframboise S.E.N.C. au 10900 côte des anges, Mirabel J7N 2W2</t>
  </si>
  <si>
    <t xml:space="preserve">Le vidange de l'étang numéro 1 a été effectuée du  28 novembre au 05 décembre 2023. Du 01 au 05 décembre 2023, 1148 TM de boues d'une siccité_x000D_
moyenne de 5.7% ont été soutirées par draguage._x000D_
</t>
  </si>
  <si>
    <t xml:space="preserve">Le vidange de l'étang numéro 1 a été effectuée du  28 novembre au 05 décembre 2023. Du 01 au 05 décembre 2023, 105 TM de boues d'une siccité_x000D_
moyenne de 43% ont été envoyées à l'épandage. Cet épandage a eu lieu à la Ferme Jacques et Sylvain Laframboise S.E.N.C. au 10900 côte des anges,_x000D_
Mirabel J7N 2W2_x000D_
</t>
  </si>
  <si>
    <t>Vidange des boues, fosse septique, le 18 septembre._x000D_
Sani-Manic.</t>
  </si>
  <si>
    <t>Sayabec</t>
  </si>
  <si>
    <t xml:space="preserve">Vidange de la fosse septique du 20 juillet 6h45 à 20h15 avec camions vacuum pour une quantité totale de 42 000 gallons </t>
  </si>
  <si>
    <t>42 000 Gallons envoyés au centre de traitement des eaux usées de la MRC des Etchemins par camions vacuum.</t>
  </si>
  <si>
    <t>Ouvrage municipal d'assainissement des eaux usées de Saint-Eugène-de-Ladrière</t>
  </si>
  <si>
    <t>Saint-Eugène-de-Ladrière</t>
  </si>
  <si>
    <t>Des réparations ont eu lieu dans l'étang 1 &amp; 2 durant le mois d'août et septembre afin d'effectué c'est réparation convenablement , l'enlèvement de boues a été nécessaire _x000D_
Le 9 août 14.10 m3 ont été soutiré de l'étang 1_x000D_
Le 29 août, 1er &amp; 7 septembre  35.68 m3 ont été soutiré de l'étang 2</t>
  </si>
  <si>
    <t>Les boues ont été soutiré &amp; disposé du même coup par SANI-MANIC de Rimouski avec Camion Vacuum _x000D_
aucune analyse de siccité a été effectué</t>
  </si>
  <si>
    <t>vidange par camion vacuum de 3000gallon</t>
  </si>
  <si>
    <t>dans un site site d'enfouissement</t>
  </si>
  <si>
    <t>3000 gallon le 17 par camion vacuum</t>
  </si>
  <si>
    <t>Disposition par camion benne. JMV Environnement. Quantité de boues évacuées: 636 m³. Siccité moyenne des boues: 23 %. _x000D_
Détails des totaux par site: Les Ent. HDJS Gascon Ltée, Lefaivre, Ontario:134,70 m³; Ferme MDNP Dubuc inc., Mercier, Québec:159,52 m³; La ferme Jean Dumesnil, St-Blaise Richelieu, Québec: 341,78 m³.</t>
  </si>
  <si>
    <t>Disposition par camion benne par JMV Environnement. Quantité des boues évacuées pour le mois: 525,92 m³. Siccité moyenne des boues: 23,8 %._x000D_
Détail des totaux par site: Ferme Jean Dumesnil, Saint-Blaise sur Richelieu: 106,62 m³; Ferme MDNP, Patrick Bertrand, Mercier: 419,30 m³.</t>
  </si>
  <si>
    <t>Disposition par camion benne. par la compagnie JMV. Valorisation agricole: 350.2 TMH chez Patrick Bertrand Mercier; 240.3 TMH chez HDJS Gascon, Alfred, Ontario. Siccité moyenne de 23.8%</t>
  </si>
  <si>
    <t>Le sous-traitant n'a pas fourni les informations. Elles seront saisies dans le prochain rapport mensuel</t>
  </si>
  <si>
    <t>DISPOSITION DES BOUES POUR LE MOIS D'AVRIL_x000D_
  Disposition par camion benne : JMV Environnement_x000D_
  Quantité des boues évacuées : 394.8 m³_x000D_
  Siccité moyenne des boues : 24 %_x000D_
  Détails des totaux par site : Les entreprises H.D.J.S. GASCON Ltée, ALFRED ONTARIO : 394.8 m³_x000D_
DISPOSITION DES BOUES POUR LE MOIS DE MAI_x000D_
  Disposition par camion benne : JMV Environnement_x000D_
  Quantité des boues évacuées : 667.8 m³_x000D_
  Siccité moyenne des boues : 24.2 %_x000D_
  Détails des totaux par site : Les entreprises H.D.J.S. GASCON Ltée, ALFRED ONTARIO : 667.8 m³</t>
  </si>
  <si>
    <t>DISPOSITION DES BOUES POUR LE MOIS DE JUIN :_x000D_
Disposition par camion benne : JMV ENVIRONNEMENT_x000D_
Quantité des boues évacuées : 672.6 m³_x000D_
Siccité moyenne des boues : 24.7 %_x000D_
Détail des totaux par site : Les Entreprises HD.J.S. Gascon ltée, Alfred Ontario : 672.6 m³</t>
  </si>
  <si>
    <t>DISPOSITION DES BOUES POUR LE MOIS DE JUILLET :_x000D_
_x000D_
 Disposition par camion benne : JMV ENVIRONNEMENT_x000D_
 Quantité de boues évacuées : 624.76 m³_x000D_
 Siccité moyenne des boues : 24.6 %_x000D_
 Détail des totaux par site : Les Entreprises H.D.J.S. Gascon ltée, Alfred, Ontario :  624.76 m³</t>
  </si>
  <si>
    <t>DISPOSITION DES BOUES POUR LE MOIS D'AOÛT:_x000D_
_x000D_
 Disposition par camion benne : JMV ENVIRONNEMENT_x000D_
 Quantité de boues évacuées : 640.85 m³   Siccité moyenne des boues : 23.8%_x000D_
 Détail des totaux par site :_x000D_
    Les Entreprises H.D.J.S. Gascon ltée, Alfred, Ontario : 574.69 m³_x000D_
    Ferme Piroco, Ste-Anne-des-Plaines, Québec : 66.16 m³</t>
  </si>
  <si>
    <t>DISPOSITION DES BOUES POUR LE MOIS DE SEPTEMBRE :_x000D_
_x000D_
 Disposition par camion benne : JMV ENVIRONNEMENT_x000D_
 Quantité de boues évacuées : 595m³_x000D_
 Siccité moyenne des boues : 23.8%_x000D_
 Détail des totaux par site : _x000D_
- Les Entreprises H.D.J.S. Gascon ltée, Alfred, Ontario : 280m³_x000D_
- Ferme Piroco, Ste-Anne-des-Plaines, Québec : 315m³</t>
  </si>
  <si>
    <t xml:space="preserve">DISPOSITION DES BOUES POUR LE MOIS D'OCTOBRE :_x000D_
_x000D_
 Disposition par camion benne : JMV ENVIRONNEMENT_x000D_
 Quantité de boues évacuées : 611.24 m³_x000D_
 Siccité moyenne des boues : 23.9 %_x000D_
 Détail des totaux par site : _x000D_
-Les Entreprises H.D.J.S. Gascon ltée, Alfred, Ontario : 493.36 m³_x000D_
-LES FERMES BENALLAN, Terrebonne, Québec : 117.88 m³_x000D_
</t>
  </si>
  <si>
    <t>DISPOSITION DES BOUES POUR LE MOIS DE NOVEMBRE :_x000D_
_x000D_
 Disposition par camion benne : JMV ENVIRONNEMENT_x000D_
 Quantité de boues évacuées : 651.9 m³_x000D_
 Siccité moyenne des boues : 23.6 %_x000D_
 Détail des totaux par site :_x000D_
     Les Entreprises H.D.J.S. Gascon ltée, Alfred, Ontario : 584.9 m³_x000D_
     Les Fermes Benallan, Terrebonne, Québec : 67 m³</t>
  </si>
  <si>
    <t xml:space="preserve">DISPOSITION DES BOUES POUR LE MOIS DE DÉCEMBRE :_x000D_
_x000D_
 Disposition par camion benne : JMV ENVIRONNEMENT_x000D_
 Quantité de boues évacuées : 524.5 m³_x000D_
 Siccité moyenne des boues : 24.1 %_x000D_
 Détail des totaux par site : _x000D_
- Les Entreprises H.D.J.S. Gascon ltée, Alfred, Ontario : 512 m³   _x000D_
- Waste Management Ste-Sophie Landfill, Ste-Sophie, Québec : 12.4 m³_x000D_
</t>
  </si>
  <si>
    <t>Ouvrage municipal d'assainissement des eaux usées de Saint-Faustin-Lac-Carré</t>
  </si>
  <si>
    <t>Mont-Blanc</t>
  </si>
  <si>
    <t xml:space="preserve">Cellule 1: 3 au 6 août 2023, pompage par dragage avec étangs en activité, 85,65 TMS, siccité moyenne: 27%;
Cellule 2: 14 et 15 août 2023, pompage par dragage avec étangs en activité, 23,86 TMS, siccité moyenne: 27%;
Cellule 3: 9 au 13 août 2023, pompage par dragage avec étangs en activité, 66,34 TMS, siccité moyenne: 22%;
Cellule 4: 7 au 9 août 2023, pompage par dragage avec étangs en activité, 58,08 TMS, siccité moyenne: 20%.
Méthode de déshydratation: centrifugation.
</t>
  </si>
  <si>
    <t>Cellule 1: 3 au 6 août 2023, pompage par dragage avec étangs en activité, 85,65 TMS, siccité moyenne: 27%, épandage, 5000 Chemin du Lac, Saint-Gabriel_x0002_de-Brandon, QC J0K 2N0 et 1660 Rang S, Saint-Norbert, QC J0K 3C0 ;
Cellule 2: 14 et 15 août 2023, pompage par dragage avec étangs en activité, 23,86 TMS, siccité moyenne: 27%, épandage, 5000 Chemin du Lac, Saint-Gabriel_x0002_de-Brandon, QC J0K 2N0 et 19284 Côte St Pierre, Mirabel, QC J7J 1P4 ;
Cellule 3: 9 au 13 août 2023, pompage par dragage avec étangs en activité, 66,34 TMS, siccité moyenne: 22%, épandage, 5000 Chemin du Lac, Saint-Gabriel_x0002_de-Brandon, QC J0K 2N0 et 19284 Côte St Pierre, Mirabel, QC J7J 1P4 ;
Cellule 4: 7 au 9 août 2023, pompage par dragage avec étangs en activité, 58,08 TMS, siccité moyenne: 20%, épandage, 5000 Chemin du Lac, Saint-Gabriel_x0002_de-Brandon, QC J0K 2N0 et 19284 Côte St Pierre, Mirabel, QC J7J 1P4.</t>
  </si>
  <si>
    <t>Ouvrage municipal d'assainissement des eaux usées de Saint-Frédéric</t>
  </si>
  <si>
    <t>Saint-Frédéric</t>
  </si>
  <si>
    <t>Bassins: A, B et C_x000D_
Vidange des boues du 21 au 28 novembre 2023. _x000D_
Méthode: pompage des boues dans un géo tube._x000D_
Quantité soutirée: 370 m3_x000D_
Siccité moyenne: 11%</t>
  </si>
  <si>
    <t>Disposé des boues dans des Géo tube (3) sur le site de la station de traitement_x000D_
Quantité évacuée: 370 m3_x000D_
Siccité: 11%_x000D_
Bassin A, B et C</t>
  </si>
  <si>
    <t>fin de la vidange le 4 décembre</t>
  </si>
  <si>
    <t>dans des sacs sur les lieus</t>
  </si>
  <si>
    <t xml:space="preserve">Une entreprise prend en charge la disposition des boues et transporte le tout directement à son usine._x000D_
La quantité de boues évacuée est de 0.91 m3 sur une période de 59 jours._x000D_
</t>
  </si>
  <si>
    <t>Une entreprise prend en charge la disposition des boues et transporte le tout directement à son usine._x000D_
La quantité de boues évacuée est de 2,20 m3 sur une période de 70 jours.</t>
  </si>
  <si>
    <t xml:space="preserve">Une entreprise prend en charge la disposition des boues et transporte le tout directement à son usine._x000D_
La quantité de boues évacuée est de 1,1 m3 sur une période de 63 jours._x000D_
</t>
  </si>
  <si>
    <t xml:space="preserve">Une entreprise prend en charge la disposition des boues et transporte le tout directement à son usine._x000D_
La quantité de boues évacuée est de 0.73 m3 sur une période de 100 jours._x000D_
</t>
  </si>
  <si>
    <t xml:space="preserve">Une entreprise prend en charge la disposition des boues et transporte le tout directement à son usine._x000D_
La quantité de boues évacuée est de 0.84 m3 sur une période de 82 jours._x000D_
</t>
  </si>
  <si>
    <t>Disposition par enfouissement au site EBI 34,34 m3, siccité moyenne 15,5%</t>
  </si>
  <si>
    <t>Disposition par enfouissement au site EBI, 32,89 m3, siccité moyenne de 15,5%</t>
  </si>
  <si>
    <t>disposition par enfouissement au site EBI, 40,30 m3, siccité moyenne de 15%</t>
  </si>
  <si>
    <t>disposition par enfouissement au site EBI, 12,64 m3, 15% siccité</t>
  </si>
  <si>
    <t>disposition par enfouissement au site EBI, 22,16 m3, siccité moyenne 15%</t>
  </si>
  <si>
    <t>Disposition par enfouissement au site EBI, 43,56 m3 siccité moyenne de 15%</t>
  </si>
  <si>
    <t>disposition par enfouissement au site EBI, 38,18 m3, siccité moyenne 15%</t>
  </si>
  <si>
    <t>Disposition par enfouissement au site EBI, 44,86m3, siccité moyenne de 15%</t>
  </si>
  <si>
    <t>disposition par enfouissement au site EBI, 28,83 m3, siccité moyenne 15%</t>
  </si>
  <si>
    <t>Disposition par enfouissement au site EBI, 29,10 m3, siccité moyenne de 15,5%</t>
  </si>
  <si>
    <t>Disposition par enfouissement au site EBI, 35,67 m3, siccité moyenne de 15%</t>
  </si>
  <si>
    <t>disposition par enfouissement au site EBI, 36,76 m3, siccité moyenne de 15%</t>
  </si>
  <si>
    <t>Disposition des boues de l'étangs #2 prélevées en 2022.  Déshydraté au moyen de géotube, disposition par l'entrepreneur.  Disposition de 219,41 tms.</t>
  </si>
  <si>
    <t>Quantité prise en compte dans tonnage saisi au mois de septembre.</t>
  </si>
  <si>
    <t>Vidange du 7 aout au 14 septembre 2023 par draguage dans l'étang #3. 6329 m3 de boues soutirées pour 183,97 TMS, avec une siccité de 2,9%</t>
  </si>
  <si>
    <t>Disposition à la charge de l'entrepreneur, disposition dans les champs agricoles.  219,41 TMS ou 1013,86 m3.  Siccité de 21,64%.  Disposition du 26 juillet au 24 aout 2023.  Boues provenant de l'étang #2.</t>
  </si>
  <si>
    <t>24 octobre 2023 vidange par camion vaccum du bassin de boues du décanteur secondaire. 22,14 tonne métrique, 2,1% de siccité moyenne. Disposition à la régie de Coaticook._x000D_
_x000D_
Une vidange avait aussi eu lieu le 13 juin 2023, la sicité était de 5,2%. 23tonne métrique disposé à la régie de Coaticook</t>
  </si>
  <si>
    <t>vidange du bassin des boues 62.89 m3 par citerne de viridis environnement vers fosse Bessette St-Alexandre</t>
  </si>
  <si>
    <t>vidange du bassin des boues par camion citerne par viridis environnement vers fosse Bessette St-Alexandre 65.88m3_x000D_
le tout fait le 23-02-23</t>
  </si>
  <si>
    <t>vidange du bassin des boues 58.67 m3 par camion citerne de viridis environnement vers la fosse Bessette</t>
  </si>
  <si>
    <t>le 30-05 vidange du bassin des boues par citerne de viridis environnement 63.15 m3 disposition fosse Bessette</t>
  </si>
  <si>
    <t>18-07 vidange du bassin des boues par vacuum drummond disposition fosse Bessette viridis environnement 62.13 m3</t>
  </si>
  <si>
    <t>Le 5 septembre vidange du bassin des boues par Vacuum Drummond 69.12m3 transporté vers fosse à Viridis environnement par citerne</t>
  </si>
  <si>
    <t>Le 1er novembre vidange du bassin des boues 60.4 m3 par vacuum drummond transport par citerne vers viridis environnement fosse bessette</t>
  </si>
  <si>
    <t xml:space="preserve">le 14-12 vidange du bassin des boues par vacuum drummond transport par citerne vers viridis environnement 64.43m3 </t>
  </si>
  <si>
    <t>EBI, St-Thomas/ 16,5% siccité/ Benne/ 30.66T.M.</t>
  </si>
  <si>
    <t>25.02t.m., siccité 15.3%, EBI St=Thomas</t>
  </si>
  <si>
    <t>EBI, St-Thomas, 53.92t.m.,siccité 14.7%</t>
  </si>
  <si>
    <t>Benne, EBI St-Thomas, 25.21T.M., 16.7% siccité</t>
  </si>
  <si>
    <t>Ebi St-Thomas, 18.66 tm 14,1% siccité</t>
  </si>
  <si>
    <t>EBI, St-Thomas, Benne, 15.1% siccité, 42,3 T.M.</t>
  </si>
  <si>
    <t>31.45T.M. EBI St-Thomas, benne,17,4% siccité</t>
  </si>
  <si>
    <t>Benne, EBI St-Thomas, siccité: 18,2%, 20,56 t.m.</t>
  </si>
  <si>
    <t>EBI, St-Thomas, Benne,9.27T.M.</t>
  </si>
  <si>
    <t>EBI, St-Thomas,19.1% siccité, 28.5T.M.</t>
  </si>
  <si>
    <t>16.3% siccité, EBI St=Thomas, benne, 30tm</t>
  </si>
  <si>
    <t>sicitté:15.3%,  EBI St-Thomas, 38.38 T.M.,  Benne</t>
  </si>
  <si>
    <t>52620 Kg avec une siccitée moyenne de 14.7% ont été envoyées à St-Alexandre</t>
  </si>
  <si>
    <t>Bien que la précision soit manquante, l'ensemble du tonnage a été considéré comme épandu en milieu agricole comme pour les années précédentes.</t>
  </si>
  <si>
    <t xml:space="preserve"> 52440 Kg  avec une siccitée moyenne de 14.8% ont été envoyées à St-Alexandre</t>
  </si>
  <si>
    <t>66980 Kg avec une siccitée moyenne de 14.3% ont été envoyées à St-Alexandre</t>
  </si>
  <si>
    <t>45060 Kg avec une siccité moyenne de 14.2% ont été envoyées à St-Alexandre</t>
  </si>
  <si>
    <t>50190 Kg avec une siccitée moyenne de 13.6% ont été envoyées à St-Alexandre</t>
  </si>
  <si>
    <t xml:space="preserve"> 36990 Kg avec une siccitée moyenne de 13.39% ont été envoyées à St-Alexandre et Henryville</t>
  </si>
  <si>
    <t>53970 Kg de boues avec une siccité moyenne de 15.5% ont été envoyées à Henryville.</t>
  </si>
  <si>
    <t>36240Kg de boues avec une siccité moyenne de 15.3% ont été envoyées à Henryville.</t>
  </si>
  <si>
    <t>52050 Kg de boues avec une siccité moyenne de 14.6% ont été envoyées à Henryville et St-Alexandre</t>
  </si>
  <si>
    <t>36170 Kg de boues avec une siccité moyenne de 13.9% ont été envoyées à St-Alexandre.</t>
  </si>
  <si>
    <t>73600 Kg de boues avec une siccité moyenne de 14,0% ont été envoyées à St-Alexandre.</t>
  </si>
  <si>
    <t xml:space="preserve"> 54310 Kg de boues avec une siccité moyenne de14.3 % ont été envoyées à St-Alexandre.</t>
  </si>
  <si>
    <t>par enfouissement des boues autorisé par la ville de Quebec sur leur site à St-Tite des Caps._x000D_
13.73 m. cube de boues._x000D_
la siccité moyenne des matieres seches est 47% et l'humidité de 53%_x000D_
les boues proviennent de la cellule 4 et la vidange c'est par draguage fait en automne 2018 et 2014 approximativement.</t>
  </si>
  <si>
    <t>Valorisation agricole 875.10TM - Agrobiosol : 300.6TM  - Meuzzi Jeuris Alberton: 524.4TM - Meuzzi Jeuris Napierville : 50.10TM - 29.7%_x000D_
Échantillonnage des biosolides le 17 janvier pour analyses labo. accr.</t>
  </si>
  <si>
    <t>Valorisation agricole (Qte totale évacuée: 823,20 Tm Siccité moyenne: 30,5 % ): _x000D_
-Agrobiosol:  431,9 Tm_x000D_
- MEUZZI JEURIS (Chemin Alberton 4569 et 3825): 85,9 Tm_x000D_
-Ferme L &amp; Y Toupin 1773 (Côteau du Trèfle): 305,4 Tm</t>
  </si>
  <si>
    <t>Valorisation agricole Total : 772.40 TM_x000D_
Agrobiosol : 702.60 TM_x000D_
Meuzzi Jeuris : 69.8 TM</t>
  </si>
  <si>
    <t>Valorisation agricole. Siccité : 31.1%_x000D_
_x000D_
En date de l'officialisation du rapport, nous n'avons pas reçu notre résumé des sorties de boues pour le mois de mai 2023.</t>
  </si>
  <si>
    <t>La quantité de boues générées en mai a été estimée à partir de la quantité mensuelle moyenne produite pour les autres mois de 2023.</t>
  </si>
  <si>
    <t xml:space="preserve">Valorisation agricole : 958,11 TM_x000D_
575.49 TM Agrobiosol + 382.62 TM Meuzzi Jeuris </t>
  </si>
  <si>
    <t>Valorisation agricole  - 33% siccité moyenne. _x000D_
- MEUZZI JEURIS 147 TM_x000D_
- AGROBIOSOL 715 TM</t>
  </si>
  <si>
    <t>865.87 TM valorisation agricole - 616.3 T Agrobiosol - 212.37 Meuzzi Jeuris - 37.20 Ferme L  Y Toupin - 31.7%</t>
  </si>
  <si>
    <t xml:space="preserve">Valorisation agricole- Total : 815.9 TM: Agrobiosol 448.3TM - Meuzzi Jeuris 101.1TM - Ferme Dubuc 242.2TM - CPL Lacoste 24.3TM    / 6567 m3 - 31.2% siccité._x000D_
_x000D_
</t>
  </si>
  <si>
    <t>Valorisation agricole. En date du présent rapport, les valeurs ne sont pas disponibles.</t>
  </si>
  <si>
    <t>La quantité de boues générées en octobre a été estimée à partir de la quantité mensuelle moyenne produite pour les autres mois de 2023.</t>
  </si>
  <si>
    <t>Valorisation agricole  - Agrobiosol - 974.12 tm -  7234 m3  - 31.6%</t>
  </si>
  <si>
    <t xml:space="preserve">Valorisation agricole.  962.31T.M. Agrobiosol et 121.70T.M. ferme Meuzzi Jeuris -  30.7% siccité moy. </t>
  </si>
  <si>
    <t>Vidange de boues réalisé du 26 au 28 Septembre avec un système de déshydratation et une expédition de boues par camions._x000D_
_x000D_
Bassin 4: du 26 au 27 sept, 700m3 de boues à 2.62% de siccité évacués_x000D_
Bassin 3: du 27 au 28 sept, 391m3 de boues à 2.11% de siccité évacués_x000D_
Bassin 2: le 28 sept, 216m3 de boue à 1.55% de siccité évacués</t>
  </si>
  <si>
    <t xml:space="preserve">Vidange de boues réalisé du 26 au 28 Septembre avec un système de déshydratation et une expédition de boues par camions._x000D_
La quantité de boues évacuée est de 1296m3 de boues humides soit 30.76 m3 de boues sèches. La siccité moyenne des boues est de 2.10%_x000D_
_x000D_
Les lieux de dispositions sont : _x000D_
31 camions à Bessette (1041m3 humide)_x000D_
6 camions à Choquette ( 218m3 humide)_x000D_
1 camion à Anaud (37 m3 humide)_x000D_
_x000D_
</t>
  </si>
  <si>
    <t>Ouvrage municipal d'assainissement des eaux usées de Saint-Luc-de-Vincennes</t>
  </si>
  <si>
    <t>Saint-Luc-de-Vincennes</t>
  </si>
  <si>
    <t>Des Chenaux</t>
  </si>
  <si>
    <t xml:space="preserve">vidange avec un camion vacuum _x000D_
station de pompage </t>
  </si>
  <si>
    <t>bassin no.1</t>
  </si>
  <si>
    <t xml:space="preserve">Disposition d'environ 450,000 gallons effectué le 17 Octobre 2023 par épandage sur les terres agricole suivante :_x000D_
_x000D_
1 656 959 , Cadastre du Québec, Saint-Mathias-sur-Richelieu_x000D_
1 813 285, Cadastre du Québec, Saint-Mathias-sur-Richelieu_x000D_
2 086 673 , Cadastre du Québec, Saint-Mathias-sur-Richelieu_x000D_
2 086 673 , Cadastre du Québec, Saint-Mathias-sur-Richelieu_x000D_
</t>
  </si>
  <si>
    <t>Fait le 19 sept 2023 par Fosses septique Protec-Nature  inc</t>
  </si>
  <si>
    <t>Le soutirage des boues ont été effectuées avec pompe à  boues et installer un tuyau rigide près du bord des parois vertical à la cellule 3 et 4 par la suite est  pompé sur le lit de séchage qui a pour effet gel et dégel. Soutirer les boues flottantes et lentilles d'eau  dans des back 900 litres. 2 analyses de siccité a été prise le 4 octobre les résultats d'analyses  sont de  36.4 % et 20.4 % _x000D_
La siccité des boues pomper se fera après le dégel au printemps 2024</t>
  </si>
  <si>
    <t>vidanges des boues par la compagnie Sani Etchemins inc_x000D_
30 mètres cubes dans le bassin d'accumulation des boues et 26 mètres cubes dans la deuxième partie de la fosse septique et 9 mètres cubes pour le lavage des rotofix.</t>
  </si>
  <si>
    <t>Les boues ont été disposée par la compagnie Viridis Environnement. 65 mètres cubes</t>
  </si>
  <si>
    <t>En raison du manque de précision, les quantités saisies correspondent au volume déclaré par l'exploitant. Bien que l'information soit manquante, les boues ont été considérées comme recyclées (Mode non précisé).</t>
  </si>
  <si>
    <t>Vidange des boues en ordre des étangs #4, #1 et #2
Date de la vidange: 12 octobre au 31 octobre
Drague et centrifugeuse
Quantité soutirée: 
- Étang 4: 190.75 TMS
- Étang 1: 84.36 TMS
- Étang 2: 105.68 TMS
Siccité moyenne:
- Étang 4: 24%
- Étang 1: 33%
- Étang 2: 27%</t>
  </si>
  <si>
    <t xml:space="preserve">Vidange des boues en ordre des étangs #4, #1 et #2_x000D_
Date de la disposition: 12 octobre au 31 octobre_x000D_
_x000D_
Étang #4: Du 12 au 19 octobre, enfouissement chez Épuresol de 190.75 TMS. Siccité de 24% en moyenne._x000D_
_x000D_
Étang #1: Du 20 au 27 octobre, épandage au 876 rang du 20 à Saint-Étienne-de-Beauharnois de 84.36 TMS. Siccité de 33% en moyenne._x000D_
_x000D_
Étang #2: Du 28 au 29 octobre, épandage au 876 rang du 20 à Saint-Étienne-de-Beauharnois de 46.27 TMS. Siccité de 30% en moyenne._x000D_
                Du 29 au 31 octobre, épandage au 1039 Rue Richelieu, Saint-Marc-sur-Richelieu, QC J0L 2E0 de 59.41 TMS. Siccité de 25% en moyenne._x000D_
</t>
  </si>
  <si>
    <t>Vidange des boues de l'étang #2_x000D_
Date de la vidange: 1 et 2 novembre_x000D_
Drague et centrifugeuse_x000D_
Quantité soutirée:  56.90 TMS_x000D_
Siccité moyenne: 26%</t>
  </si>
  <si>
    <t>Vidange des boues de l'étang #2_x000D_
Date de la disposition: 1 et 2 novembre_x000D_
1er novembre, un seul voyage épandu au 904 Montée Lapierre, St-Antoine-sur-Richelieu, J0L 1R0 de 9.65 TMS. Siccité de 32%._x000D_
1er au 2 novembre, épandage au 1039 Rue Richelieu, Saint-Marc-sur-Richelieu, QC J0L 2E0 de 47.25 TMS. Siccité de 25% en moyenne.</t>
  </si>
  <si>
    <t>Vidange du bassin de stockage des boue par Sani-Etchemin. envoyé au centre de traitement des boue des Etchemins volume de 10 mêtres cubes</t>
  </si>
  <si>
    <t>Le 13 juin, il y a eu disposition chez ferme Dufort et fils inc 1278 rang Double St-lin-Laurentides QC J5M1x8 de 17.44 tonnes de boues  provenant du bassin de stockage des boues à une siccité de  28%.</t>
  </si>
  <si>
    <t>le 26 septembre, il y a eu disposition des boues provenant du bassin de stockage des boues 23.74 tonnes de boues à une siccité de 24.9% la disposition par camion au ferme Dufort et fils inc 1278 rang Double st-Lin-Laurentides QC J5M1X8.</t>
  </si>
  <si>
    <t>le 31 octobre, il a eu disposition  par camion, les boues provenant du bassin de stockage des boues 15.03 tonnes de boues à une siccité de 25%. disposition chez ferme Dufort et fils inc 1278 rang Double St-Lin-Laurentides QC J5M1X8.</t>
  </si>
  <si>
    <t xml:space="preserve">Il y a eu vidange du bassin de stockage des boues le 12 septembre 2023, nous avons pompé 171 mètres cubes de boues avec deux pompes à gaz 2.5 pouces dans des camion citernes  à une siccité de 2.2 %. </t>
  </si>
  <si>
    <t>la disposition c'est fait par camions citernes 171 mètres cubes de boues provenant du bassin de stockage des boues à une siccité de 2.2%  chez ferme Dufort et frères inc, 965 Rang Double, St-Lin-Laurentides J5M1X0.</t>
  </si>
  <si>
    <t>Ouvrage municipal d'assainissement des eaux usées de Saint-Sébastien</t>
  </si>
  <si>
    <t>Saint-Sébastien</t>
  </si>
  <si>
    <t>du 22 au 30 juin ont eu lieu, dans les étangs #1 et #2 la vidange de boues.  Il est à noter que la vidange, s'est continuée en juillet.  La vidange s'est effectuée par pompage avec une " barge " sur les étangs.  Dans l'étang #1 la quantité soutirée en mc est de 724 et la siccité moyenne est de 4.20%  Dans l'étang #2, la quantité soutirée en mc est de 1216 et la siccité moyenne est de 3.13%.  Les travaux se continuent en juillet!</t>
  </si>
  <si>
    <t>Les 1er, 4, 5, 6, 7, 11, 12 juillet dernier, ont eu lieu, dans les étangs #1 et #2 la vidange de boues. La vidange s'est effectuée par_x000D_
pompage avec une " barge " sur les étangs. Dans l'étang #1 la quantité soutirée en mc est de 2083 et la siccité moyenne est de 6.73% Dans l'étang #2, la_x000D_
quantité soutirée en mc est de 872 et la siccité moyenne est de 4.80%. Étant donné le peu de boue sortit dans l'étang #1 en juin, ils ont décidé d'y retourner en changeant quelque peu leur manière de faire, ce qui a mené à de biens meilleurs résultats!</t>
  </si>
  <si>
    <t>Ouvrage municipal d'assainissement des eaux usées de Saint-Sylvère</t>
  </si>
  <si>
    <t>Saint-Sylvère</t>
  </si>
  <si>
    <t>Le 2 novembre 2023, un volume de 58 m3 de boues (2-3% siccité) a été soutiré de l'étang1 par pompage dans la lagune (lit de séchage).</t>
  </si>
  <si>
    <t>Ouvrage municipal d'assainissement des eaux usées de Saint-Valérien</t>
  </si>
  <si>
    <t xml:space="preserve">Le 21 août 2023  16.88 tonnes de matières sèches avec une moyenne de 22.5% de siccité ont été disposé provenant de l'étang 2 qui avait été soutiré directement l'an dernier et placé dans un sac pour déshydratation  . _x000D_
La méthode de soutirement des boues avait été effectué avec un pompage sans abaisser le niveau de l'étang ensuite envoyé dans un sac là ou il a pu se déshydraté durant le cycle de l'hiver . La quantité de boues a été disposé par SIMETECH Environnement pour une valorisation dans le milieu de l'agriculture </t>
  </si>
  <si>
    <t>Ouvrage municipal d'assainissement des eaux usées de Saint-Vallier</t>
  </si>
  <si>
    <t>Saint-Vallier</t>
  </si>
  <si>
    <t>Pompage des boues dans le deuxième bassin (cellules 3 et 4) du 2 au 8 juin 2023. Les boues sont pompées à l'aide d'une pompe accrochée au bout d'une pelle mécanique et transférées dans un sac géotube pour déshydratation sur place. La siccité mesurée est de 0,6 à 2,3._x000D_
_x000D_
Volume pompé cellule 3 : 708 m3 (5,85 TMS)_x000D_
Volume pompé cellule 4 : 393 m3 (6,36 TMS)</t>
  </si>
  <si>
    <t>Vidange Cellules 2,3 et 4, du 6 au 16 octobre. Déshydratation par centrifugeuse, 339.74 TMS. Boue a 22% de siccité en valeur moyenne laboratoire .</t>
  </si>
  <si>
    <t xml:space="preserve">Disposition des boues_x000D_
1.	Méthode de disposition :	Disposition dans des sites autorisés_x000D_
2.	Lieu de disposition  :  123.04 TMS : 876 Rang du 20, Saint-Étienne-de-Beauharnois, QC  (Site VIP102+ conteneur, confirmé avec Mohamad par téléphone)_x000D_
b.	7.02 TMS : 2765 Chem. de la Grande-Côte, Saint-Télesphore, QC J0P 1Y0 (Site 541)_x000D_
c.	100.20 TMS : 1285 Rue de la Cabane Ronde, Mascouche, QC J7K 0P2 (Sites 728 et VIP728)_x000D_
d.	109.48 TMS : 3022 3e Rang, Sainte-Justine-de[1]Newton, QC J0P 1T0 (Site VIP 657)_x000D_
3.	Quantités de boues    :  339.74 TMS (pour les m3, il faudra voir avec la mesure de boues)_x000D_
4.	Siccité moyenne des boues évacuées  :  22%_x000D_
5.	Identification du bassin ou de la cellule  :Cellules 2,3 et 4_x000D_
6.	Date de début et fin de vidange   :  Entre le 6 et le 16 octobre 2023_x000D_
7.	Méthode utilisée  :  Déshydratation par centrifugeuse_x000D_
</t>
  </si>
  <si>
    <t>547,19</t>
  </si>
  <si>
    <t>776 tonnes valorisées</t>
  </si>
  <si>
    <t>892 tonnes valorisées</t>
  </si>
  <si>
    <t>892 tonnes valorisée</t>
  </si>
  <si>
    <t>Valorisation 1135 tonnes</t>
  </si>
  <si>
    <t>1003 tonne valorisé</t>
  </si>
  <si>
    <t>1302 tonne en valorisation</t>
  </si>
  <si>
    <t>1145 tonnes valorisées</t>
  </si>
  <si>
    <t>926 tonnes valorisées</t>
  </si>
  <si>
    <t>902 tonnes à la valorisation</t>
  </si>
  <si>
    <t>922 tonnes en valorisation (20,96% de siccité...)</t>
  </si>
  <si>
    <t>866 tonnes</t>
  </si>
  <si>
    <t>Le soutirage par dragage a eu lieu dans le bassin #4 du 02/05/2023 au 16 /05/ 2023. La méthode utilisée pour la disposition des boues sur une plateforme aménagée est le conditionnement et déshydratation des boues par sacs d'assèchement (par voie passive). La quantité soutirée dans le bassin#4 est 526.01 Tonnes de matière sèches avec une  siccité moyenne soutirée de 3,32%</t>
  </si>
  <si>
    <t>Pas de disposition de boues pour le moment. les sacs contenant les boues sont en phase de déshydratation sur le site de la station.</t>
  </si>
  <si>
    <t>Disposition de 1331 TM de boue à 36.6% de siccité par la firme Viridis</t>
  </si>
  <si>
    <t>Disposition de 1359.8 TM de boue à 38,3% de siccité par la firme Viridis</t>
  </si>
  <si>
    <t>Disposition de 1395,8 TM de boue à 39,34% de siccité par la firme Viridis</t>
  </si>
  <si>
    <t>Disposition de 1241,8 TM de boue à 42.8% de siccité par la firme Viridis</t>
  </si>
  <si>
    <t>Disposition de 1338.7 TM de boue à 42.96% de siccité par la firme Viridis</t>
  </si>
  <si>
    <t>Disposition de 1436,9 TM de boue à 41.1 % de siccité par la firme Viridis</t>
  </si>
  <si>
    <t>Disposition de 1399,9 TM de boue à 42.6% de siccité par la firme Viridis</t>
  </si>
  <si>
    <t>Disposition de 1236.6 TM de boue à 38,9% de siccité par la firme Viridis</t>
  </si>
  <si>
    <t>Disposition de 1396.7 TM de boue à 38,3% de siccité par la firme Viridis</t>
  </si>
  <si>
    <t>Disposition de 1402.2 TM de boue à 36.2% de siccité par la firme Viridis</t>
  </si>
  <si>
    <t>Disposition de 1553.8 TM de boue à 36.7 % de siccité par la firme Viridis</t>
  </si>
  <si>
    <t>Disposition de 1296,5 TM de boue à 38,3% de siccité par la firme Viridis</t>
  </si>
  <si>
    <t>Élimination des boues. Volume total 276 m3 avec une siccité de 3.0 %.</t>
  </si>
  <si>
    <t>Aucune boue comptabilisée puisqu'elles ont été acheminées à  l'ouvrage municipal d'assainissement des eaux usées de Sherbrooke.</t>
  </si>
  <si>
    <t>Élimination des boues à la station d'épuration de Sherbrooke. Volume total de 220 m3 avec une siccité de 4.03%.</t>
  </si>
  <si>
    <t>Élimination des boues à la station d'épuration de Sherbrooke, volume total 250 m3 avec une siccité de 5.1%.</t>
  </si>
  <si>
    <t>Élimination des boues à la station d'épuration de Sherbrooke.  Volume total de 220 m3 avec une siccité de 4.6%.</t>
  </si>
  <si>
    <t>Élimination des boues à la station d'épuration de Sherbrooke. Volume total 308 m3 avec une siccité de 4.37%</t>
  </si>
  <si>
    <t>Élimination des boues à la station d'épuration de Sherbrooke. Volume total 245 m3 avec une siccité de 4.2%.</t>
  </si>
  <si>
    <t>Élimination des boues à la station d'épuration de Sherbrooke. Volume total de 224 m3 avec une siccité de 3.7 %.</t>
  </si>
  <si>
    <t>Élimination des boues à la station de d'épuration de Sherbrooke. Volume total de 274.1 m3 avec une siccité de 4.9%</t>
  </si>
  <si>
    <t>Élimination des boues à la station d'épuration de Sherbrooke. Volume total 280 m3 avec une siccité de 3.99%</t>
  </si>
  <si>
    <t>Élimination des boues à la station d'épuration de Sherbrooke. Volume total 248 m3 avec une siccité de 3.45%.</t>
  </si>
  <si>
    <t>Élimination des boues à la station d'épuration de Sherbrooke. Volume total de 249 m3 avec une siccité de 3.8%.</t>
  </si>
  <si>
    <t>Élimination des boues à la station d'épuration de Sherbrooke. Volume total 262 m3 avec une siccité de 3.91%.</t>
  </si>
  <si>
    <t>la fosse a éte vidanger le 08 fevrier 2023</t>
  </si>
  <si>
    <t xml:space="preserve">Vindanger par _x000D_
Enviro5 inc._x000D_
4820 gallons </t>
  </si>
  <si>
    <t>Le basin a ete vidé le 06-06-2023_x000D_
facture # 64449</t>
  </si>
  <si>
    <t>4600 gallons_x000D_
 par Enviro 5 inc.</t>
  </si>
  <si>
    <t>Vidanges de la fosses septique devant les roseaux _x000D_
 2 Aout 2023</t>
  </si>
  <si>
    <t xml:space="preserve">Le boues on été envoyé a l usine d épuration de Val des Sources_x000D_
Total:72 M3 </t>
  </si>
  <si>
    <t>Aucune boue comptabilisée puisqu'elles ont été acheminées à  l'ouvrage municipal d'assainissement des eaux usées de Val-des-Sources.</t>
  </si>
  <si>
    <t>Ouvrage municipal d'assainissement des eaux usées de Sutton (Jonction) (non suivi art. 1)</t>
  </si>
  <si>
    <t>Sutton</t>
  </si>
  <si>
    <t>vidange complète du réservoir septique en amont du poste de pompage le 26 juillet 2023. 35 M³ a été soutiré par camion vacuum.</t>
  </si>
  <si>
    <t>Les boues ont été dirigées vers les étangs aérés de la Ville de Sutton.</t>
  </si>
  <si>
    <t>Aucune boue comptabilisée puisqu'elles ont été acheminées dans les étangs aérés de la ville de Sutton.</t>
  </si>
  <si>
    <t>Vidange du digesteur 2, 86 mètres cubes environ, les boues seront traités par l'entreprise Campor</t>
  </si>
  <si>
    <t>Date de début de la vidange : 15 septembre 2023 fin de la vidange: 23 septembre 2023. Bassin étang 2 Est, étang 1 Est, étang 3 Nord. Un total de 409 TMS a été valorisé par la méthode de centrifugation. La siccité moyenne des boues soutirées est de 22 %.</t>
  </si>
  <si>
    <t>Date de début de la vidange : 15 septembre 2023 fin de la vidange: 23 septembre 2023. Bassin étang 2 Est: 149 TMS (36%), étang 1 Est: 137 TMS (33 %), étang 3 Nord: 123 TMS (30%) Un total de 409 TMS a été valorisé par la compagnie GFL des boues déshydratées par la méthode de centrifugation. La siccité moyenne des boues soutirées est de 22 %. Les lieu de disposition sont les suivants: 566 rue Louis-Hébert, Mascouche, QC J7K 0R5 (champ 69F), 98 rue Des Peupliers, L'Assomption, QC J5W 3P6 (champ 327), 2150 chemin Saint-Henri, Mascouche, QC J7K 3C3 (champ 508), 4063 chemin Saint-Charles, Terrebonne, QC J6V 1A3 (champ 720), 154 rue de la cabane Ronde L'Épiphanie, QC J5X 3N5 (champ 725), 19284 Côte St-Pierre, Mirabel, QC J7J 1P4 (champ VIP 544) 1285 Chemin de la Cabane-Ronde, Mascouche, QC (champ VIP 728).</t>
  </si>
  <si>
    <t>date de début et fin de pompage: 24 juillet au 30 juillet 2023 _x000D_
Cellule #4 de l'étang 2_x000D_
méthode utiliser : mécanique par centrifugation   quantité évacué :5000 m3 @ 4 % =(200 TMS)</t>
  </si>
  <si>
    <t>disposition : valorisation par épandage dans des champs agricoles_x000D_
lieu de disposition: 5490 Rang Saint Vincent, Mirabel. QC j7n 2t6 et 19284 Côte St-Pierre, Mirabel, QC j7j 1p4_x000D_
quantité évacué :5000 m3 @ 4 % =(200 TMS)</t>
  </si>
  <si>
    <t>20,1+22,5+19,2+21,6+19,8+21,3+19,7+19,4+18,9=182,6 tonnes de boues déshydratées et enfouies par Viridis Environnement avec une siccité d'environ 16%</t>
  </si>
  <si>
    <t>21+19,6+20,6+19,1+20,6+20,1+21,3+19,2 = 161,6 tonnes de boues déshydratées et enfouies par Viridis Environnement avec une siccité d'environ 15,3%</t>
  </si>
  <si>
    <t>21,3+19,3+20,6+21,1+18,4+18,2+18+17,9=174,1 tonnes de boues déshydratées et enfouies par Viridis Environnement avec une siccité d'environ 15,9%</t>
  </si>
  <si>
    <t>17,7+20+17,2+16,6+16,6+16=104,1 tonnes de boues déshydratées et enfouies par Viridis Environnement avec une siccité d'environ 15,7%</t>
  </si>
  <si>
    <t>17,4+20,1+23,1+19,7+21,1+19,1+20+19=159,5 tonnes de boues déshydratées et enfouies par Viridis Environnement avec une siccité d'environ 16,9%</t>
  </si>
  <si>
    <t>20,4+18,9+20,3+19,6+24,2+20+20,1+19,8+19,6=182,9 tonnes de boues déshydratées et enfouies par Viridis Environnement avec une siccité d'environ 15,6%</t>
  </si>
  <si>
    <t>19,2+19,7+20,2+21,1+21,8+22,5+21,5+21,7=167,8 tonnes de boues déshydratées et enfouies par Viridis Environnement avec une siccité d'environ 15,5%</t>
  </si>
  <si>
    <t>6,1+9,1+9,1+9,1+9,0+9,0+8,7+8,0+7,6+8,7+20,3+20,7+19,9+20,7=165,9 tonnes de boues déshydratées et enfouies par Viridis Environnement avec une siccité d'environ 15%</t>
  </si>
  <si>
    <t>21,3+21,5+19,9+20,8+19,9+21,4+23,0+23,7=171,6 tonnes de boues déshydratées et enfouies par Viridis Environnement avec une siccité d'environ 14%</t>
  </si>
  <si>
    <t>17+21,4+19,7+21,5+23,3+20,9+20,8=144,6 tonnes de boues déshydratées et enfouies par Viridis Environnement avec une siccité d'environ 14%</t>
  </si>
  <si>
    <t>22+21,1+23,6+21+23,2+21+20,3+22,3+23=197,6 tonnes de boues déshydratées et enfouies par Viridis Environnement avec une siccité d'environ 13%</t>
  </si>
  <si>
    <t>18,7+22,4+21,1+20,6+2,9+20,5+21,6+21,8=168,7 tonnes de boues déshydratées et enfouies par Viridis Environnement avec une siccité d'environ 14%</t>
  </si>
  <si>
    <t xml:space="preserve">le 4 octobre 2023 nous avons vide le sac de boue a l`aide d`une pelle mécanique qui chargeais des camions a gravier pour transport les boues dans des champs de cultivateur pré choisie avec une agronome. 16 TMS on été sortie du sac la siccité a 98% le pompage avais été effectuée dans l`étang 1 et 3 </t>
  </si>
  <si>
    <t>10 novembre : 3.1 m3 transféré aux étangs de SMC</t>
  </si>
  <si>
    <t>10 novembre : 8.5 m3 transféré aux étangs de SMC</t>
  </si>
  <si>
    <t>Bassin 1 ; 7 au 16 juillet 2023 ; dragage ; 3430 m3 soutirés ; 43 % ; 147.79 TMS.</t>
  </si>
  <si>
    <t>valorisation agricole ; 3430 m3 soutirés ; 43 % ; Bassin 1 ; 7 au 16 juillet 2023 ; centrifuge pour la déshydratation des boues.</t>
  </si>
  <si>
    <t>Bassin 1 ; 1er et 2 août 2023 ; assèchement de l'étang ; 153.33 m3 ; 43.8% ; 62.88 TMS</t>
  </si>
  <si>
    <t>Valorisation agricole ; champs aux alentours des étangs de SLF (description des sites disponibles sur demande) ; 153.33 m3 ; 43.8% ; Bassin 1 ; 1er et 2 août 2023 ; assèchement de l'étang.</t>
  </si>
  <si>
    <t>Étang 1, 26 au 29 septembre 2023, assèchement, 1455 m3, siccité inconnue.</t>
  </si>
  <si>
    <t>Étang 1, valorisation agricole, lieux de disposition disponible sur demande, 1455 m3, siccité inconnue.</t>
  </si>
  <si>
    <t>10 novembre : 2.3 m3 transféré aux étangs de SMC</t>
  </si>
  <si>
    <t>Bassin 3A; 26 juin 2023; dragage; 2161 m3; 25%; 539 tonnes de matières sèches enlevées.</t>
  </si>
  <si>
    <t>valorisation agricole; sites disponibles sur demande; 2161 m3; 25%; bassin 3A; 26 juin 2023 et toujours en cours; dragage.</t>
  </si>
  <si>
    <t>Bassin 3A ; du 3 au 20 juillet 2023 ; dragage ; 3603 m3 soutirés ; 24.3% ; 876 TMS.</t>
  </si>
  <si>
    <t>Valorisation agricole ; champs aux alentours de la station (liste disponible sur demande) ; 3603 m3 évacués ; 24.3% ; Bassin 3A ; 3 au 20 juillet 2023 ; centrifuge pour la déshydratation.</t>
  </si>
  <si>
    <t>Étang 3A ; 4 au 31 août 2023 ; assèchement ; 8049 m3 ; 25.4% ; 2046.7 TMS soutirées</t>
  </si>
  <si>
    <t>Valorisation agricole ; champs à proximité de la station (description des sites disponibles sur demande) ; 8049 m3 ; 25.4% ; Étang 3A ; 4 au 31 août 2023 ; assèchement.</t>
  </si>
  <si>
    <t>Étang #4 :  du 25 au 28 avril 2023 pompage vers sacs géotextiles de 3007m³ de boues avec une siccité moyenne de 3,22% (environ 97 TMS)</t>
  </si>
  <si>
    <t xml:space="preserve">Étang #4 :  du 01 au 06 mai 2023 pompage vers sacs géotextiles de 2733m³ de boues avec une siccité moyenne de 5,85% (environ 160 TMS)_x000D_
_x000D_
                 - _x000D_
</t>
  </si>
  <si>
    <t xml:space="preserve">Étang #4 : le 16 mai 2023 : Pompage boues liquides vers citernes et transport vers sites de déchargement Semarco 36 Rang 9 Ouest Princeville G6L 4Y5 : 126 m³ - siccité moyenne = 5,22% (6,58TMS)
Étang #4 : le 17 mai 2023 : Pompage boues liquides vers citernes et transport vers sites de déchargement Semarco 36 Rang 9 Ouest Princeville G6L 4Y : 135 m³ - siccité moyenne = 6,23% (8,41TMS)
Étang #4 : le 17 mai 2023 : Pompage boues liquides vers citernes et transport vers sites de déchargement Semarco 36 Rang 9 Ouest Princeville G6L 4Y : 130 m³ - siccité moyenne = 4,74% (6,16TMS)
Étang #4 : le 17 mai 2023 : Pompage boues liquides vers citernes et transport vers sites de déchargement Semarco 36 Rang 9 Ouest Princeville G6L 4Y : 133 m³ - siccité moyenne = 7% (9,31TMS)
Étang #4 : le 17 mai 2023 : Pompage boues liquides vers citernes et transport vers sites de déchargement Semarco 36 Rang 9 Ouest Princeville G6L 4Y  : 135 m³ - siccité moyenne = 6,23% (8,41TMS)
Étang #4 : le 18 mai 2023 : Pompage boues liquides vers citernes et transport vers sites de déchargement Semarco 36 Rang 9 Ouest Princeville G6L 4Y/Ferme JMP Chrétien 2832 rue Principale St-Édouard de Lotbinière : 100 m³ - siccité moyenne = 9% (9TMS)
Étang #4 : le 18 mai 2023 : Pompage boues liquides vers citernes et transport vers sites de déchargement Ferme JMP Chrétien 2832 rue Principale St-Édouard de Lotbinière : 99 m³ - siccité moyenne = 11,77% (11,65TMS)
TOTAL boues disposées : 858 m³ (59,52TMS)
</t>
  </si>
  <si>
    <t>Les boues acheminées dans les géotubes (2 733 m3) n'ont pas été comptabilisées puisque leur disposition sera effectuée ultérieurement.</t>
  </si>
  <si>
    <t>Ouvrage municipal d'assainissement des eaux usées de Val-David</t>
  </si>
  <si>
    <t>Val-David</t>
  </si>
  <si>
    <t xml:space="preserve">Les boues proviennent de l'étang numéro 2 pour la période du 16 au 25 juillet, la siccité moyenne pour cette période est de est de 26.13 %. Pour cette période 596.89 tonnes de boues déshydratées ont été retiré de l'étang. _x000D_
Pour la période du 27 au 31 juillet les boues proviennent de l'étang numéro 1 avec une siccité moyenne pour cette période de 27.88 %. Pour cette période 588.28 tonnes de boues déshydratées ont été retiré de l'étang._x000D_
Pour ces 2 périodes les boues ont été extraits avec un bateau dragueur aspirant le fond des étangs. Ensuite les bous pompées sont passées dans un tamis rotatif, puis en déshydrations avec une centrifugeuse et injection de polymère pour permettre la floculation._x000D_
Les boues ont été envoyées en enfouissement </t>
  </si>
  <si>
    <t xml:space="preserve">Les boues proviennent de l'étang numéro 1 pour la période du 3 au 8 aout, la siccité moyenne pour cette période est de est de 29.04 %. Pour cette période 504.38 tonnes de boues déshydratées ont été retiré de l'étang. _x000D_
Pour cette période les boues ont été extraits avec un bateau dragueur aspirant le fond de l'étangs. Ensuite les boues pompées sont passées dans un tamis rotatif, puis en déshydrations avec une centrifugeuse et injection de polymère pour permettre la floculation._x000D_
Les boues ont été envoyées en enfouissement </t>
  </si>
  <si>
    <t xml:space="preserve">Les boues proviennent de l'étang numéro  pour la période du 3 au 8 aout, la siccité moyenne pour cette période est de est de 29.04 %. Pour cette période 504.38 tonnes de boues déshydratées ont été retire de l'étang. _x000D_
Pour cette période les boues ont été extraits avec un bateau dragueur aspirant le fond de l'étangs. Ensuite les boues pompées sont passées dans un tamis rotatif, puis en déshydrations avec une centrifugeuse et injection de polymère pour permettre la floculation._x000D_
Les boues ont été envoyées en enfouissement </t>
  </si>
  <si>
    <t xml:space="preserve">Nous avons revaloriser 101.2 Tonnes de boues à la mine Jeffrey ayant une siccité moyenne de 16.7%. </t>
  </si>
  <si>
    <t>nous avons revalorisé 119.6 Tonnes de boues à la mine Jeffrey ayant une siccité moyenne de 19.8%.</t>
  </si>
  <si>
    <t>Nous avons revaloriser 73.6 Tonnes de boues a la mine Jeffrey ayant une siccité moyenne de 25.3%</t>
  </si>
  <si>
    <t>Nous avons revalorisé 190.3 tonnes de boues à la mine Jeffrey ayant une siccité moyenne de 27.0%</t>
  </si>
  <si>
    <t>Nous avons revalorisé 92.4 Tonnes de boues à la mine Jeffrey ayant une siccité moyenne de 26.5%</t>
  </si>
  <si>
    <t>Nous avons revalorisé 219.4 tonnes de boues à la mine Jeffrey ayant une siccité moyenne de 21.4%.</t>
  </si>
  <si>
    <t xml:space="preserve">Nous avons revalorisé 227.6 Tonnes de boues a la mine Jeffrey ayant une siccité moyenne de 21.1%  </t>
  </si>
  <si>
    <t>Nous avons revalorisé 207.8 tonnes de boues a la mine Jeffrey ayant une siccité moyenne de 24.1%.</t>
  </si>
  <si>
    <t>Nous avons revalorisé 199.6 Tonnes de boues a la mine Jeffrey ayant une siccité moyenne de 26.1%</t>
  </si>
  <si>
    <t>Nous avons revaloriser 200.8 Tonnes de boues a la mine Jeffrey ayant une siccité moyenne de 18.4 %</t>
  </si>
  <si>
    <t>Nous avons revalorisé 129.4 Tonnes de boues avec une siccité moyenne de 19.2% a la mine Jeffrey.</t>
  </si>
  <si>
    <t xml:space="preserve">238,5 m3 de boues avec une siccité moyenne de 14.9 % ont étés transportés au site de compostage de la MRC de la vallée de l'or par camion benne._x000D_
</t>
  </si>
  <si>
    <t xml:space="preserve">215.8 m3 de boues avec une siccité moyenne de 14.9 % ont étés transportés au site de compostage de la MRC de la vallée de l'or par camion benne._x000D_
</t>
  </si>
  <si>
    <t xml:space="preserve">254,3 m3 de boues avec une siccité moyenne de 15,3 % ont étés transportés au site de compostage de la MRC de la vallée de l'or par camion benne._x000D_
</t>
  </si>
  <si>
    <t xml:space="preserve">205,8 m3 de boues avec une siccité moyenne de 16,83% ont étés transportés au site de compostage de la MRC de la vallée de l'or par camion benne._x000D_
</t>
  </si>
  <si>
    <t xml:space="preserve">300,5 m3 de boues avec une siccité moyenne de 16,7 % ont étés transportés au site de compostage de la MRC de la vallée de l'or par camion benne._x000D_
</t>
  </si>
  <si>
    <t xml:space="preserve">195,3 m3 de boues avec une siccité moyenne de 16,7 % ont étés transportés au site de compostage de la MRC de la vallée de l'or par camion benne._x000D_
</t>
  </si>
  <si>
    <t xml:space="preserve">263,4 m3 de boues avec une siccité moyenne de 16,2 % ont étés transportés au site de compostage de la MRC de la vallée de l'or par camion benne._x000D_
</t>
  </si>
  <si>
    <t xml:space="preserve">208,4 m3 de boues avec une siccité moyenne de 16,3 % ont étés transportés au site de compostage de la MRC de la vallée de l'or par camion benne._x000D_
</t>
  </si>
  <si>
    <t xml:space="preserve">16,7 m3 de boues avec une siccité moyenne de 15,8 % ont étés transportés au site de compostage de la MRC de la vallée de l'or par camion benne. 272,3 m3 ont été à l'ancien site minier de la East Sullivan pour la revalorisation du site suite à des problèmes de compostage et d'entreposage de la MRC._x000D_
</t>
  </si>
  <si>
    <t xml:space="preserve">306,3 m3 de boues avec une siccité moyenne de 16,7 % ont étés transportés au site de la East Sullivan par camion benne._x000D_
</t>
  </si>
  <si>
    <t xml:space="preserve">194,4 m3 de boues avec une siccité moyenne de 15,9 % ont étés transportés au site de compostage de la MRC de la vallée de l'or par camion benne et 59,4 m3  avec une siccité moyenne de 15,9 % ont été transportés a l'ancien site minier de la East Sullivan._x000D_
</t>
  </si>
  <si>
    <t xml:space="preserve">214,3 m3 de boues avec une siccité moyenne de 15,1 % ont étés transportés au site de compostage de la MRC de la vallée de l'or par camion benne._x000D_
</t>
  </si>
  <si>
    <t>Le 16 février 2023 vidange de la fosse à boues, 10 mètre cube de boues à une siccité moyenne de 1.72%, à l'aide d'un camion vacuum.</t>
  </si>
  <si>
    <t>Le 16 février 2023 vidange de la fosse à boues, 10 mètre cube 100% du volume de boues à une siccité moyenne de 1.72%. À l'aide d'un camion vacuum les boues ont été disposé dans les lagunes le la MRC de la vallée de l'or.</t>
  </si>
  <si>
    <t xml:space="preserve">Vidange bassin de boues le 7 avril 2023. À l'aide d'un camion vacuum nous avons soutiré 10 mètres cube de boues à une siccité moyenne de 1.59%. </t>
  </si>
  <si>
    <t>Vidange bassin de boues le 7 avril 2023. À l'aide d'un camion vacuum nous avons soutiré 10 mètres cube de boues à une siccité moyenne de 1.59%. Les boues on été disposé dans les lagunes de la MRC de la Vallée de l'or.</t>
  </si>
  <si>
    <t>Aucune boue comptabilisée puisqu'elles ont été acheminées à  l'ouvrage municipal d'assainissement des eaux usées de Val-d'Or.</t>
  </si>
  <si>
    <t>À l'aide d'un camion vacuum, le 14 juin Vidange boues accumulation dans rotofixe 2 qui était à l'arrêt. Volume totale de 6 mètre cube pour une hauteur de 48 pouce. Hauteur des boues dans le rotofixe 2, 25 pouce 3.13 mètre cube 52.2% à une siccité de 1.46%. le 14 juin vidange fosse à boues 10 mètres cube à une siccité moyenne de 1.54%.</t>
  </si>
  <si>
    <t>À l'aide d'un camion vacuum. Le 14 juin Vidange boues accumulation dans rotofixe 2 qui était à l'arrêt. Volume totale de 6 mètre cube pour une hauteur de 48 pouce. Hauteur des boues dans le rotofixe 2, 25 pouce 3.13 mètre cube 52.2% à une siccité de 1.46%. 14 juin vidange fosse à boues 10 mètres cube à une siccité moyenne de 1.54%. Disposées dans les lagunes de la MRC de la Vallée de l'or.</t>
  </si>
  <si>
    <t>Le 14 juillet 2023. À l'aide d'un camion vacuum 10 mètre cube à une siccité moyenne de 1.35% dans la fosse à boues.</t>
  </si>
  <si>
    <t>Le 14 juillet 2023. À l'aide d'un camion vacuum 10 mètre cube à une siccité moyenne de 1.35% dans la fosse à boues. Disposition dans les lagunes de la MRC de la Vallée de l'or.</t>
  </si>
  <si>
    <t>Vidange du bassin de boues le 14 août. À l'aide d'un camion vacuum 10 mètre cube à une siccité moyenne de 0.83%, ont été soutiré du bassin de boues.</t>
  </si>
  <si>
    <t xml:space="preserve">Vidange du bassin de boues le 14 août. À l'aide d'un camion vacuum 10 mètre cube à une siccité moyenne de 0.83%, ont été soutiré du bassin de boues. Transporté à la MRC de la Vallée de l'Or et disposé dans les lagunes. </t>
  </si>
  <si>
    <t>Le 7-9-2023 vidange du bassin de boues. À l'aide d'un camion vacuum 10 mètre cube de boues à une siccité moyenne de 0.73%.</t>
  </si>
  <si>
    <t>Le 7-9-2023 vidange du bassin de boues. À l'aide d'un camion vacuum 10 mètre cube de boues à une siccité moyenne de 0.73%. Transporté à la MRC de la Vallée de l'or et disposées dans les lagunes.</t>
  </si>
  <si>
    <t>Vidange bassin #3 4-10-2023, 10 m3 à une siccité moyenne de 3.4%. à l'aide d'un camion vacuum.</t>
  </si>
  <si>
    <t>Vidange bassin #3 4-10-2023, 10 m3 à une siccité moyenne de 3.4%. à l'aide d'un camion vacuum. disposition des boues au lagune de la MRC de la Vallée-De-L'or.</t>
  </si>
  <si>
    <t>Le 9 novembre 2023. À l'aide d'un camion vacuum, vidange fosse à boues 10 m3 à une siccité moyenne de 0.92%.</t>
  </si>
  <si>
    <t>Le 9 novembre 2023. À l'aide d'un camion vacuum, vidange fosse à boues 10 m3 à une siccité moyenne de 0.92%. Disposition dans les lagunes à la MRC de la Vallée de L'or.</t>
  </si>
  <si>
    <t xml:space="preserve">le 20-12-2023 vidange de la fosse à boues. À l'aide d'un camion vacuum vidange de 10 mètres cube d'une siccité moyenne de 1.33%. </t>
  </si>
  <si>
    <t>le 20-12-2023 vidange de la fosse à boues. À l'aide d'un camion vacuum vidange de 10 mètres cube d'une siccité moyenne de 1.33%. Disposition dans les lagunes de la MRC de la Vallée de L'Or.</t>
  </si>
  <si>
    <t>16 mai 2023 41.42 mètre cube à une siccité moyenne de 3.28%. 17 mai 2023 37.31 mètre cube à une siccité moyenne de 3.16%. À l'aide d'un camion vacuum nous avons soutiré les boues par le fond à la sortie du bassin # 4.</t>
  </si>
  <si>
    <t>16 mai 2023 41.42 mètre cube à une siccité moyenne de 3.28%. 17 mai 2023 37.31 mètre cube à une siccité moyenne de 3.16%. À l'aide d'un camion vacuum nous avons soutiré les boues par le fond à la sortie du bassin # 4. La disposition des boues a été réalisé au lagune de la MRC de la vallée de l'or.</t>
  </si>
  <si>
    <t>le 13 juillet 2023, à l'aide d'un camion vacuum soutirage de 20.06 mètre cube de boues d'une siccité moyenne de 4.51% dans le fond du bassin numéro 4.</t>
  </si>
  <si>
    <t>le 13 juillet 2023, à l'aide d'un camion vacuum soutirage de 20.06 mètre cube de boues d'une siccité moyenne de 4.51% dans le fond du bassin numéro 4. Disposition des boues dans les lagunes de la MRC de la Vallée-de -L'or.</t>
  </si>
  <si>
    <t>Le 20 septembre 2023, à l'aide du camion vacuum, vidange du bassin # 4, 40.3 mètres cubes à une siccité moyenne de 3.36%.</t>
  </si>
  <si>
    <t>Le 20 septembre 2023, à l'aide du camion vacuum, vidange du bassin # 4, 40.3 mètres cubes à une siccité moyenne de 3.36%. Transporté à la MRC de la Vallée de l'or au lagunes pour y être disposées.</t>
  </si>
  <si>
    <t>Les 12 et 13 octobre, vidange des boues à la sortie du bassin #4. À l'aide d'un camion vacuum, nous avons soutiré 45.47 et 47.81 mètres cube de boues à une siccité moyenne de 3.36%.</t>
  </si>
  <si>
    <t>Les 12 et 13 octobre, vidange des boues à la sortie du bassin #4. À l'aide d'un camion vacuum, nous avons soutiré 45.47 et 47.81 mètres cube de boues à une siccité moyenne de 3.36%. Les 93.28 mètres cubes ont été transporté et disposé dans les lagunes de la MRC de la Vallée-de l'or.</t>
  </si>
  <si>
    <t>Les boues de Vaudreuil-Dorion sont déshydratées par tambour rotatif et centrifugeuse. Le tonnage mensuel produit pour le mois de janvier est de 533,39 tonnes humides à une siccité moyenne de 20,9 % . Les boues sont par la suite valorisée par Récupération Mario Hart . 224,89 tonnes sont allées chez plateforme St-Chrysostome et 308,5 tonnes sont allés chez la Ferme Leboeuf .</t>
  </si>
  <si>
    <t xml:space="preserve">Les boues de Vaudreuil-Dorion sont déshydratées par tambour rotatif et centrifugeuse. Le tonnage total du mois de février est de 502,34 tonnes humides à une siccité moyenne de 21,2 % . Les boues sont ensuite valorisées par Mario Hart récupération inc. . Les boues sont allées chez Francis Leboeuf , Slab agrobiosol et Marc Leblanc . </t>
  </si>
  <si>
    <t>Les boues de Vaudreuil-Dorion sont déshydratées par tambour rotatif et centrifugeuse . Le total des boues du mois de mars est de 553,23 tonnes métrique humide à une siccité moyenne de 21 % . Les boues sont valorisées par Récupération Mario Hart . Les boues sont allés chez les producteurs suivants : Francis Leboeuf à Salaberry de Valleyfield; Ferme J.C. Sauvé et fils inc. à St-Télésphore; Marc Leblanc à Godmanchester et slab Agrobiosol.</t>
  </si>
  <si>
    <t>Les boues de Vaudreuil-Dorion sont déshydratées par tambour rotatif et centrifugeuse. Le tonnage de boues produites au mois d'avril est de 563,3 tonnes humides à une siccité moyenne de 21,7 % . Les boues sont par la suite valorisées par Récupération Mario Hart chez les producteurs suivants : Francis Leboeuf, 10 rang Sainte-Marie à Salaberry de Valleyfield ; Ferme J.C. Sauvé et files inc. au 2765 ch. del a Grande Côte à St-Télesphore et Marc Leblanc , 5691 Chemin Ridge à Godmanchester</t>
  </si>
  <si>
    <t xml:space="preserve">Les boues sont déshydratées par tambour rotatif et centrifugeuse. Le tonnage du mois de mai est de 539,28 tonnes humides à une siccité moyenne de 21,5 % . Les boues sont valorisées par Mario Hart et sont allées aux producteurs suivants : Francis Lebeuf 10 Rang Sainte-Marie, Salaberry-de-Valleyfield ; Ferme J.C. Sauvé et fils inc., 2765 Ch. De la Grande-Côte, Saint-Télesphore ; Marc Leblanc, 5691 Chemin Ridge, Godmanchester; Ferme agricole Huna, 2215 ch. Saint-André, Saint-Télesphore et P. Cécyre ,30 ch. du Grand-Marais , Sainte-Martine._x000D_
	_x000D_
</t>
  </si>
  <si>
    <t xml:space="preserve">Les boues de Vaudreuil-Dorion sont déshydratées par tambour rotatif et centrifugeuse. Le tonnage du mois de juin est de 573,10 tonnes humides à une siccité moyenne de 21,5 % . Les boues sont par la suite valorisées par Mario Hart Inc. Les boues sont allés chez les agriculteurs suivants : Francis Lebeuf, 10 Rang Sainte-Marie O, Salaberry-de-Valleyfield ;	_x000D_
Ferme J.C. Sauvé et fils inc., 2765 Ch. De la Grande-Côte, Saint-Télesphore	; Marc Leblanc	, 5691, Chemin Ridge, Godmanchester ; Ferme agricole Huna , 2215 ch. Saint-André_x000D_
Saint-Télesphore ; et P. Cécyre , 30 ch. du Grand-Marais , Sainte-Martine 	_x000D_
	_x000D_
</t>
  </si>
  <si>
    <t xml:space="preserve">Les boues de Vaudreuil-Dorion sont déshydratées par tambour rotatif et centrifugeuse. Le tonnage du mois de juillet est de 547,05 tonnes humides à une siccité moyenne de 21,7 %. Les boues sont valorisées par Mario Hart Inc. Les boues sont allés chez : Francis Lebeuf	, 10 Rang Sainte-Marie O, Salaberry-de-Valleyfield ; Ferme J.C. Sauvé et fils inc.	_x000D_
2765 Ch. De la Grande-Côte, Saint-Télesphore ; Marc Leblanc , 5691, Chemin Ridge, Godmanchester ; Ferme agricole Huna , 2215 ch. Saint-André , Saint-Télesphore et P. Cécyre, 	_x000D_
30 ch. du Grand-Marais ,Sainte-Martine .	_x000D_
	_x000D_
</t>
  </si>
  <si>
    <t xml:space="preserve">Les boues sont déshydratées par tambour rotatif et centrifugeuse. Le tonnage du mois d'août est de 529,78 tonnes humides à une siccité moyenne de 21,3 % . Les boues sont ensuite valorisées par Mario Hart inc. . Les boues sont allées chez Francis Lebeuf, 10 Rang Sainte-Marie O, Salaberry-de-Valleyfield ; Ferme J.C. Sauvé et fils inc., 2765 Ch. De la Grande-Côte, Saint-Télesphore ; Marc Leblanc, 5691, Chemin Ridge, Godmanchester	; Ferme agricole Huna, 2215 ch. Saint-André, Saint-Télesphore et P. Cécyre, 30 ch. du Grand-Marais, Sainte-Martine.	_x000D_
	_x000D_
</t>
  </si>
  <si>
    <t xml:space="preserve">Les boues de Vaudreuil-Dorion sont déshydratées par tambour rotatif et centrifugeuse. Le tonnage produit au mois de septembre est de 523,18 tonnes humides à une siccité moyenne de 20,9 % . Les boues sont ensuite valorisées par Mario Hart inc. et ont été distribuées chez les agriculteurs suivant : Francis Lebeuf ,10 Rang Sainte-Marie O, Salaberry-de-Valleyfield ; Ferme J.C. Sauvé et fils inc. , 2765 Ch. De la Grande-Côte, Saint-Télesphore ; Marc Leblanc ,5691, Chemin Ridge, Godmanchester ; Ferme agricole Huna ,2215 ch. Saint-André , Saint-Télesphore et P. Cécyre , 30 ch. du Grand-Marais ,Sainte-Martine. 	_x000D_
	_x000D_
</t>
  </si>
  <si>
    <t xml:space="preserve">Les boues de Vaudreuil-Dorion sont déshydratées par tambour rotatif et centrifugeuse . Le tonnage du mois d'octobre est de 545,47 tonnes humides à une siccité moyenne de 21,8 %. Les boues sont valorisées par Mario Hart inc. , les boues ont été disposées chez : Francis Lebeuf; 10 Rang Sainte-Marie O, Salaberry-de-Valleyfield 	; Ferme J.C. Sauvé et fils inc. , 2765 Ch. De la Grande-Côte, Saint-Télesphore	; Marc Leblanc	, 5691, Chemin Ridge, Godmanchester ; Ferme agricole Huna , 2215 ch. Saint-André ,Saint-Télesphore et 	_x000D_
P. Cécyre , 30 ch. du Grand-Marais , Sainte-Martine .	_x000D_
	_x000D_
</t>
  </si>
  <si>
    <t>Les boues de Vaudreuil-Dorion sont déshydratées par tambour rotatif et centrifugeuse . Le tonnage du mois de novembre est de 518,8 tonnes humides à une siccité moyenne de 20,8 % . Les boues sont valorisées par Mario Hart inc. chez les producteurs suivants : Francis Lebeuf, 10 Rang Sainte-Marie O, Salaberry-de-Valleyfield ; Ferme J.C. Sauvé et fils inc.	_x000D_
2765 Ch. De la Grande-Côte, Saint-Télesphore ; Marc Leblanc, 5691, Chemin Ridge, Godmanchester	 ; Ferme agricole Huna, 2215 ch. Saint-André, Saint-Télesphore et P. Cécyre , 30 ch. du Grand-Marais , Sainte-Martine .</t>
  </si>
  <si>
    <t xml:space="preserve">Les boues de Vaudreuil-Dorion sont déshydratées par tambour rotatif et centrifugeuse . Le tonnage de mois de décembre est de 577,08 tonnes humides à une siccité moyenne de 20,8 % . Les boues sont ensuite valorisées par Mario Hart inc. . Les boues ont été distribuées chez les producteurs suivants : Francis Lebeuf , 10 Rang Sainte-Marie O, Salaberry-de-Valleyfield ; Ferme J.C. Sauvé et fils inc. , 2765 Ch. De la Grande-Côte, Saint-Télesphore ; Marc Leblanc , 5691, Chemin Ridge, Godmanchester ; Ferme agricole Huna , 2215 ch. Saint-André ,Saint-Télesphore et P. Cécyre ,  30 ch. du Grand-Marais , Sainte-Martine . </t>
  </si>
  <si>
    <t xml:space="preserve">Vidange des boues de l'étang 3 début le 31 mai 2023 jusqu'au 2 juin 2023 par CLEAN HARBORS Qté 98800 kg humide à 19% de siccité moyenne. 23834 kg sec._x000D_
Vidange des boues de l'étang 2 début le 3 juin 2023 jusqu'au 5 juin 2023 par CLEAN HARBORS Qté 300972 kg humide à 18% de siccité moyenne. 54597 kg sec._x000D_
Vidange des boues de l'étang 1 début le 5 juin 2023 jusqu'au 11 juin 2023 par CLEAN HARBORS Qté 356740 kg humide à 22% de siccité moyenne. 80856 kg sec._x000D_
Les boues ont été déshydratées par centrifugeuse. _x000D_
_x000D_
</t>
  </si>
  <si>
    <t>Dispo. des boues de l'étang 3 début le 31 mai 2023 jusqu'au 2 juin 2023 par transport routier TAZ EXPRESS Qté 98800 kg à 19% de siccité moyenne. 23834 kg sec.
Dispo. des boues de l'étang 2 début le 3 juin 2023 jusqu'au 5 juin 2023 par transport routier TAZ EXPRESS Qté  300972 kg à 18% de siccité moyenne. 54597 kg sec.
Dispo. des boues de l'étang 1 début le 5 juin 2023 jusqu'au 11 juin 2023 par transport routier TAZ EXPRESS Qté 356740 kg à 22% de siccité moyenne. 80856 kg sec.
Toute les boues ont été disposées a la ferme Robert Kyle au 921 chemin Quest Sherrington J0L2N0</t>
  </si>
  <si>
    <t xml:space="preserve">1083.45 t.m à 16.58% de siccité disposées en valorisation, compostage chez Gesterra à St-Rosaire et méthanisation chez Coop Carbone à Warwick </t>
  </si>
  <si>
    <t>Bien que la précision soit manquante, il a été considéré que 30 % des boues ont été acheminées au compostage et 70 % en biométhanisation. Les boues sont comptabilisées sous "Biométhanisation" puisque le mode de disposition des digestats n'est pas connu.</t>
  </si>
  <si>
    <t xml:space="preserve">1153.18 tm à 16.48% en valorisation et compostage chez Gesterra à St-Rosaire et en méthanisation chez Coop Carbone à Warwick._x000D_
</t>
  </si>
  <si>
    <t>1214.22 tm à 18.16% en valorisation, compostage chez Gesterra à St-Rosaire et en méthanisation chez Coop Carbone à Warwick.</t>
  </si>
  <si>
    <t>988.19 tm à 17.22% de siccité en valorisation et compostage chez Gesterra et en méthanisation chez Coop Carbone à Warwick.</t>
  </si>
  <si>
    <t>1263.09 tm à 16.35% de siccité en valorisation et compostage chez Gesterra à St-Rosaire et méthanisation chez Coop Carbone à Warwick.</t>
  </si>
  <si>
    <t>1224.78 tm à 17.06% de siccité envoyées en valorisation chez Gesterra à St-Rosaire et en méthanisation chez Coop Carbone à Warwick.</t>
  </si>
  <si>
    <t>1103.22 tm à 17.5% de siccité en valorisation et compostage chez Gesterra à St-Rosaire et en méthanisation chez Coop Carbone à Warwick.</t>
  </si>
  <si>
    <t>776.2 tm à 15.24% de siccité envoyées en valorisation au site de Gesterra à St-Rosaire et en méthanisation chez Coop Carbone à Warwick.</t>
  </si>
  <si>
    <t>869.07 tm en compostage chez Gesterra à St-Rosaire et en méthanisation chez Coop Carbone à Warwick</t>
  </si>
  <si>
    <t>1075.55 tm à 14.63% de siccité envoyées à méthanisation chez Coop Carbone à Warwick et en valorisation chez Gesterra à St-Rosaire</t>
  </si>
  <si>
    <t>1083.96 tm à 13.86% en méthanisation chez Coop Carbone à Warwick</t>
  </si>
  <si>
    <t>Les boues sont comptabilisées sous "Biométhanisation" puisque le mode de disposition des digestats n'est pas connu.</t>
  </si>
  <si>
    <t>1345.93 tm à 13.47% envoyées à la méthanisation chez Coop Carbone et en valorisation chez Gesterra</t>
  </si>
  <si>
    <t xml:space="preserve">Dans le bassin :   2 &amp; 3
Du 29 sept au 14 Octobre
Méthode : Pompage, déshydratation
Quantité soutirée étang 3 :  Siccité moyenne 35,62%,  831,64 tonne de matière sèche (7560,36 m³)
Quantité soutirée étang 2 :  Siccité moyenne 34,31%,  78,82 tonne de matière sèche (961,22 m³)
Résidu : Siccité 100% 18,36 tonne de matière sèche ( 18, 36 m³)
</t>
  </si>
  <si>
    <t xml:space="preserve">Revalorisation agricole :_x000D_
3320, rang Grand St-Esprit, Nicolet	Éric Rousseau_x000D_
Waterloo, 47 Grand Ligne	Sherrer Geoffrey_x000D_
3320, rang Grand St-Esprit, Nicolet	Éric Rousseau_x000D_
190, rang du Bord-de-l'Eau, St-Aimé	Luc Nadeau_x000D_
4005, 9e rang de Sympson, St-Lucien	Ferme Poirier_x000D_
113, rue St-Michel, Yamaska	Pierre Detounnancour_x000D_
_x000D_
</t>
  </si>
  <si>
    <t>Ouvrage municipal d'assainissement des eaux usées de Waterloo</t>
  </si>
  <si>
    <t>Shefford</t>
  </si>
  <si>
    <t>La vidange des étangs 1 et 2 a lieu durant le mois de septembre. Les informations de cette vidange seront transmise dès qu'elles nous seront fournies.</t>
  </si>
  <si>
    <t>Les informations de la disposition seront transmises dès qu'elles nous seront fournies.</t>
  </si>
  <si>
    <t>Du 24 Août au 12 septembre les boues de l'étang 1 sont déshydratée sur place et1098,2 tonne métrique à une siccité moyenne de 35% sont transportée par camion aux fermes de Winston et Compagnie. Du 13 au 23 Septembre  les boues de l'étang 2 traitée de la même façon que l'étang 1. Il y 383,03 tonnes métrique à une siccité moyenne de 37,9% sont transportées par camion aux établissements de la même ferme que mentionnée ci-haut</t>
  </si>
  <si>
    <t>Ouvrage municipal d'assainissement des eaux usées de Weedon</t>
  </si>
  <si>
    <t>Weedon</t>
  </si>
  <si>
    <t>en attente du résulta</t>
  </si>
  <si>
    <t xml:space="preserve">en Sacher pour décantation </t>
  </si>
  <si>
    <t>vidange de boue</t>
  </si>
  <si>
    <t>boue ensacher pour décantation</t>
  </si>
  <si>
    <t>Ouvrage municipal d'assainissement des eaux usées de Weedon (Saint-Gérard)</t>
  </si>
  <si>
    <t>en tuber pour décantation</t>
  </si>
  <si>
    <t>VIDANGE DES BOUE</t>
  </si>
  <si>
    <t>BOUE ENSACHER POUR DÉCANTATION</t>
  </si>
  <si>
    <t>Vidange de boues solide fait par Viridis en attente du rapport de vidange.</t>
  </si>
  <si>
    <t>1182 m3 de boues liquide à 3.5% de siccité pompé de l'étangs PM-1 vers lit de gel-dégel-séchage</t>
  </si>
  <si>
    <t>2072 m3 de boues liquide à 3.5 % de siccité pompé de l'étang PM-1 vers lit de gel dégel séchage</t>
  </si>
  <si>
    <t>La vidange des boues a été faite le 25 juin dernier par la méthode de vidange sélective. Nous n'avons pas de station de dégrillage des matières flottantes. L'installation d'un  dégrilleur est envisagé. 46 m³ de liquide a été remis dans la fosse de 54 m³.</t>
  </si>
  <si>
    <t>La disposition des boues a été faite le 25 juin dernier par la méthode de vidange sélective. Nous n'avons pas de station de dégrillage des matières flottantes. L'installation d'un  dégrilleur est envisagé. Huit (8 m³) mètres cubes a été disposés vers la station de  Thetford-Mines ou Val des Sources.</t>
  </si>
  <si>
    <t>Aucune boue comptabilisée puisqu'elles ont été acheminées à l'ouvrage municipal d'assainissement des eaux usées de Val-des-Sources ou de Thetford Mines.</t>
  </si>
  <si>
    <t>Vidange du digesteur par camion vaccum le 30-31 janvier._x000D_
Disposition chez Viridis Environnement à St-Alexandre._x000D_
Volume évacué: 167 900 Kg_x000D_
Siccité: 3.3%</t>
  </si>
  <si>
    <t xml:space="preserve">Vidange du digesteur par Enviro5 le 4 et 5 mai 2023_x000D_
Vidange du digesteur avec un camion vacuum D209 et disposition dans la fosse de St-Alexandre._x000D_
170400kg    _x000D_
 </t>
  </si>
  <si>
    <t xml:space="preserve">Vidange du digesteur par Enviro5 le 14, 21 et 22 juin 2023_x000D_
Vidange du digesteur avec un camion vacuum D008 chez VIRDIS et disposition ._x000D_
225043kg_x000D_
</t>
  </si>
  <si>
    <t>Bien que le mode de disposition ne soit pas précisé, les boues ont été considérées recyclées par Épandage agricole.</t>
  </si>
  <si>
    <t>Réacteurs biologiques séquentiels nos 1, 2, 3, et 4 du 1er au 28 Février_x000D_
Purge de boues à chaque séquence par pompe à boues vers bassin de stockage de boues._x000D_
Total de Boues extraites 229.4 m³.</t>
  </si>
  <si>
    <t xml:space="preserve">Déshydratation par filtre à bande, centre de transfert Vaudreuil et site d'enfouissement. Quantité soutirée totale : 7.27 tonnes_x000D_
Vidange par benne à boues, du 1er au 28 Février_x000D_
</t>
  </si>
  <si>
    <t>Réacteurs biologiques séquentiels nos 1, 2, 3, et 4 du 1er au 31 Mars_x000D_
Purge de boues à chaque séquence par pompe à boues vers bassin de stockage de boues._x000D_
Total de Boues extraites 224 m³.</t>
  </si>
  <si>
    <t>Déshydratation par filtre à bande, centre de transfert Vaudreuil et site d'enfouissement. Quantité soutirée totale : 21.7 tonnes_x000D_
Vidange par benne à boues, du 1er au 31 Mars.</t>
  </si>
  <si>
    <t>Réacteurs biologiques séquentiels nos 1, 2, 3, et 4 du 1er au 30 Avril._x000D_
Purge de boues à chaque séquence par pompe à boues vers bassin de stockage de boues._x000D_
Total de Boues extraites 161.4 m³.</t>
  </si>
  <si>
    <t>Déshydratation par filtre à bande, centre de transfert Vaudreuil et site d'enfouissement. Quantité soutirée totale : 14 tonnes_x000D_
Vidange par benne à boues, du 1er au 30 Avril.</t>
  </si>
  <si>
    <t>Réacteurs biologiques séquentiels nos 1, 2, 3, et 4 du 1er au 31 Mai._x000D_
Purge de boues à chaque séquence par pompe à boues vers bassin de stockage de boues._x000D_
Total de Boues extraites 67.8 m³.</t>
  </si>
  <si>
    <t>Déshydratation par filtre à bande, centre de transfert Vaudreuil et site d'enfouissement. Quantité soutirée totale : 7.1 tonnes_x000D_
Vidange par benne à boues, du 1er au 31 Mai.</t>
  </si>
  <si>
    <t>Réacteurs biologiques séquentiels nos 1, 2, 3, et 4 du 1er au 30 Juin._x000D_
Purge de boues à chaque séquence par pompe à boues vers bassin de stockage de boues._x000D_
Total de Boues extraites 179.1 m³.</t>
  </si>
  <si>
    <t>Déshydratation par filtre à bande, centre de transfert Vaudreuil et site d'enfouissement. Quantité soutirée totale : 12.8 tonnes_x000D_
Vidange par benne à boues, du 1er au 30 Juin.</t>
  </si>
  <si>
    <t>Réacteurs biologiques séquentiels nos 1, 2, 3, et 4 du 1er au 31 Juillet._x000D_
Purge de boues à chaque séquence par pompe à boues vers bassin de stockage de boues._x000D_
Total de Boues extraites 114.1 m³.</t>
  </si>
  <si>
    <t xml:space="preserve">Déshydratation par filtre à bande, centre de transfert Vaudreuil et site d'enfouissement. Quantité soutirée totale : 12.8 tonnes_x000D_
Vidange par benne à boues, du 1er au 31 Juillet._x000D_
</t>
  </si>
  <si>
    <t>Réacteurs biologiques séquentiels nos 1, 2, 3, et 4 du 1er au 31 Aout._x000D_
Purge de boues à chaque séquence par pompe à boues vers bassin de stockage de boues._x000D_
Total de Boues extraites 134.2 m³.</t>
  </si>
  <si>
    <t>Déshydratation par filtre à bande, centre de transfert Vaudreuil et site d'enfouissement. Quantité soutirée totale : 12.1 tonnes_x000D_
Vidange par benne à boues, du 1er au 31 Aout.</t>
  </si>
  <si>
    <t>Réacteurs biologiques séquentiels nos 1, 2, 3, et 4 du 1er au 30 Septembre._x000D_
Purge de boues à chaque séquence par pompe à boues vers bassin de stockage de boues._x000D_
Total de Boues extraites 120.4 m³.</t>
  </si>
  <si>
    <t>Déshydratation par filtre à bande, centre de transfert Vaudreuil et site d'enfouissement. Quantité soutirée totale : 5.8 tonnes_x000D_
Vidange par benne à boues, du 1er au 30 Septembre.</t>
  </si>
  <si>
    <t>Réacteurs biologiques séquentiels nos 1, 2, 3, et 4 du 1er au 31 Octobre._x000D_
Purge de boues à chaque séquence par pompe à boues vers bassin de stockage de boues._x000D_
Total de Boues extraites 201.7 m³.</t>
  </si>
  <si>
    <t>Déshydratation par filtre à bande, centre de transfert Vaudreuil et site d'enfouissement. Quantité soutirée totale : 16.2 tonnes_x000D_
Vidange par benne à boues, du 1er au 31 Octobre.</t>
  </si>
  <si>
    <t>Réacteurs biologiques séquentiels nos 1, 2, 3, et 4 du 1er au 30 Novembre._x000D_
Purge de boues à chaque séquence par pompe à boues vers bassin de stockage de boues._x000D_
Total de Boues extraites 285.7 m³.</t>
  </si>
  <si>
    <t>Déshydratation par filtre à bande, centre de transfert Vaudreuil et site d'enfouissement. Quantité soutirée totale : 5.2 tonnes_x000D_
Vidange par benne à boues, du 1er au 30 Novembre.</t>
  </si>
  <si>
    <t>Réacteurs biologiques séquentiels nos 1, 2, 3, et 4 du 1er au 31 Décembre._x000D_
Purge de boues à chaque séquence par pompe à boues vers bassin de stockage de boues._x000D_
Total de Boues extraites 387.6 m³.</t>
  </si>
  <si>
    <t xml:space="preserve">Déshydratation par filtre à bande, centre de transfert Vaudreuil et site d'enfouissement. Quantité soutirée totale : 11.8 tonnes_x000D_
Vidange par benne à boues, du 1er au 31 Décembre._x000D_
</t>
  </si>
  <si>
    <t>au courant du mois de mai 2023, la compagnie GFL est venu vidanger nos bassins 1 et 2b. Ils ont commencé la vidange le 4 mai et terminé le 25 mai. Ils ont utilisé une drague pour soutiré la boue et polymère et centrifugeuse pour l'épaissir et transférer dans les camions. Nous avons soutiré 1297 m³ pour 292 tonne sèche dans le bassin 1 et 1001 m³ pour 171 tonne sèche dans le 2b. La siccité moyenne est de 20%</t>
  </si>
  <si>
    <t>voir description ''Vidanges des boues'' ci-haut. Les boues ont été valorisées pour fin agricole. Les lieux de disposition sont inscrit dans les avis de projet produit pour cet intervention. Nous vous enverrons les documents à votre demande. aqueduc@villehuntingdon.com</t>
  </si>
  <si>
    <t>La vidange a été effectué du 20 septembre 2023 au 4 octobre 2023, Toutes les cellules ont été vidangées  par draguage sur les étangs. Pour les cellules 1 et 2, selon la siccité du laboratoire accrédité,  33.47 TMS ont été retirées. Pour les cellules 3 et 4, selon la siccité obtenue du laboratoire accrédité, 55.47 TMS ont été retirées. Au total, 5772 m3 de boues ont été vidangés pour une siccité moyenne de 1,54%.</t>
  </si>
  <si>
    <t>La disposition des boues sera effectuée en 2024. Une déshydratation passive gel/dégel par géotube est effectuée sur le terrain de la station d'épuration.</t>
  </si>
  <si>
    <t>Vidange annuel de la fosse septique, 10 gallons (45 mètres cubes), le 9 novembre 2023</t>
  </si>
  <si>
    <t>Vidange de la fosse septique par Protecto-Sol le 9 novembre 2023, transport de 10 000 gallons (45 mètres cubes).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</si>
</sst>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_ ;_ * \(#,##0.00\)\ _$_ ;_ * &quot;-&quot;??_)\ _$_ ;_ @_ "/>
    <numFmt numFmtId="165" formatCode="_(* #,##0.00_);_(* \(#,##0.00\);_(* &quot;-&quot;??_);_(@_)"/>
    <numFmt numFmtId="166" formatCode="0.0%"/>
    <numFmt numFmtId="167" formatCode="_(* #,##0.0_);_(* \(#,##0.0\);_(* &quot;-&quot;??_);_(@_)"/>
    <numFmt numFmtId="168" formatCode="_(* #,##0_);_(* \(#,##0\);_(* &quot;-&quot;??_);_(@_)"/>
    <numFmt numFmtId="169" formatCode="_(* #,##0.000_);_(* \(#,##0.000\);_(* &quot;-&quot;??_);_(@_)"/>
    <numFmt numFmtId="170" formatCode="_(* #,##0.0000_);_(* \(#,##0.0000\);_(* &quot;-&quot;??_);_(@_)"/>
    <numFmt numFmtId="171" formatCode="_(* #,##0.00000_);_(* \(#,##0.00000\);_(* &quot;-&quot;??_);_(@_)"/>
    <numFmt numFmtId="172" formatCode="0.000"/>
    <numFmt numFmtId="173" formatCode="0.0"/>
  </numFmts>
  <fonts count="18" x14ac:knownFonts="1">
    <font>
      <sz val="10"/>
      <name val="Arial"/>
      <family val="2"/>
    </font>
    <font>
      <sz val="10"/>
      <name val="Tahoma"/>
      <family val="2"/>
    </font>
    <font>
      <sz val="10"/>
      <name val="Arial"/>
      <family val="2"/>
    </font>
    <font>
      <sz val="8"/>
      <name val="Arial"/>
      <family val="2"/>
    </font>
    <font>
      <sz val="18"/>
      <name val="Arial"/>
      <family val="2"/>
    </font>
    <font>
      <b/>
      <sz val="10"/>
      <name val="Arial"/>
      <family val="2"/>
    </font>
    <font>
      <b/>
      <sz val="18"/>
      <name val="Arial"/>
      <family val="2"/>
    </font>
    <font>
      <b/>
      <sz val="12"/>
      <name val="Arial"/>
      <family val="2"/>
    </font>
    <font>
      <b/>
      <sz val="28"/>
      <name val="Arial"/>
      <family val="2"/>
    </font>
    <font>
      <u/>
      <sz val="10"/>
      <color theme="10"/>
      <name val="Arial"/>
      <family val="2"/>
    </font>
    <font>
      <sz val="10"/>
      <color theme="0" tint="-0.34998626667073579"/>
      <name val="Arial"/>
      <family val="2"/>
    </font>
    <font>
      <sz val="10"/>
      <color theme="4" tint="-0.249977111117893"/>
      <name val="Arial"/>
      <family val="2"/>
    </font>
    <font>
      <b/>
      <sz val="10"/>
      <color theme="4" tint="-0.249977111117893"/>
      <name val="Arial"/>
      <family val="2"/>
    </font>
    <font>
      <sz val="10"/>
      <color theme="0"/>
      <name val="Arial"/>
      <family val="2"/>
    </font>
    <font>
      <b/>
      <sz val="10"/>
      <color theme="0"/>
      <name val="Arial"/>
      <family val="2"/>
    </font>
    <font>
      <b/>
      <sz val="18"/>
      <color rgb="FF2F75B5"/>
      <name val="Arial"/>
      <family val="2"/>
    </font>
    <font>
      <sz val="10"/>
      <color rgb="FF2F75B5"/>
      <name val="Arial"/>
      <family val="2"/>
    </font>
    <font>
      <b/>
      <sz val="10"/>
      <color rgb="FF2F75B5"/>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rgb="FFA5C33A"/>
        <bgColor indexed="64"/>
      </patternFill>
    </fill>
    <fill>
      <patternFill patternType="solid">
        <fgColor rgb="FFF2CC26"/>
        <bgColor indexed="64"/>
      </patternFill>
    </fill>
    <fill>
      <patternFill patternType="solid">
        <fgColor theme="1"/>
        <bgColor theme="1"/>
      </patternFill>
    </fill>
  </fills>
  <borders count="1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s>
  <cellStyleXfs count="4">
    <xf numFmtId="0" fontId="0" fillId="0" borderId="0"/>
    <xf numFmtId="0" fontId="9"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0" xfId="0" applyAlignment="1">
      <alignment vertical="center" wrapText="1"/>
    </xf>
    <xf numFmtId="0" fontId="0" fillId="0" borderId="0" xfId="0" applyAlignment="1">
      <alignment vertical="center"/>
    </xf>
    <xf numFmtId="165" fontId="0" fillId="0" borderId="0" xfId="2" applyFont="1" applyAlignment="1">
      <alignment vertical="center"/>
    </xf>
    <xf numFmtId="0" fontId="9" fillId="0" borderId="0" xfId="1" applyAlignment="1">
      <alignment vertical="center"/>
    </xf>
    <xf numFmtId="166" fontId="2" fillId="0" borderId="0" xfId="3" applyNumberFormat="1" applyFont="1" applyFill="1" applyAlignment="1">
      <alignment vertical="center" wrapText="1"/>
    </xf>
    <xf numFmtId="168" fontId="2" fillId="0" borderId="0" xfId="2" applyNumberFormat="1" applyFont="1" applyFill="1" applyAlignment="1">
      <alignment vertical="center"/>
    </xf>
    <xf numFmtId="9" fontId="0" fillId="0" borderId="0" xfId="3" applyFont="1" applyAlignment="1">
      <alignment vertical="center"/>
    </xf>
    <xf numFmtId="10" fontId="0" fillId="0" borderId="0" xfId="3" applyNumberFormat="1" applyFont="1" applyAlignment="1">
      <alignment vertical="center"/>
    </xf>
    <xf numFmtId="165" fontId="0" fillId="0" borderId="0" xfId="0" applyNumberFormat="1" applyAlignment="1">
      <alignment vertical="center" wrapText="1"/>
    </xf>
    <xf numFmtId="172" fontId="0" fillId="0" borderId="0" xfId="0" applyNumberFormat="1" applyAlignment="1">
      <alignment vertical="center"/>
    </xf>
    <xf numFmtId="10" fontId="0" fillId="0" borderId="0" xfId="3" applyNumberFormat="1" applyFont="1" applyAlignment="1">
      <alignment vertical="center" wrapText="1"/>
    </xf>
    <xf numFmtId="10" fontId="2" fillId="0" borderId="0" xfId="3" applyNumberFormat="1" applyFont="1" applyFill="1" applyAlignment="1">
      <alignment vertical="center" wrapText="1"/>
    </xf>
    <xf numFmtId="2" fontId="0" fillId="0" borderId="0" xfId="3" applyNumberFormat="1" applyFont="1" applyAlignment="1">
      <alignment vertical="center" wrapText="1"/>
    </xf>
    <xf numFmtId="168" fontId="2" fillId="0" borderId="0" xfId="2" applyNumberFormat="1" applyFont="1" applyAlignment="1">
      <alignment vertical="center"/>
    </xf>
    <xf numFmtId="165" fontId="2" fillId="0" borderId="0" xfId="2" applyFont="1" applyFill="1" applyAlignment="1">
      <alignment vertical="center"/>
    </xf>
    <xf numFmtId="0" fontId="4" fillId="2" borderId="0" xfId="0" applyFont="1" applyFill="1" applyAlignment="1">
      <alignment horizontal="center" vertical="center"/>
    </xf>
    <xf numFmtId="0" fontId="0" fillId="2" borderId="0" xfId="0" applyFill="1" applyAlignment="1">
      <alignment vertical="center" wrapText="1"/>
    </xf>
    <xf numFmtId="165" fontId="0" fillId="2" borderId="0" xfId="0" applyNumberFormat="1" applyFill="1" applyAlignment="1">
      <alignment vertical="center" wrapText="1"/>
    </xf>
    <xf numFmtId="165" fontId="2" fillId="2" borderId="0" xfId="2" applyFont="1" applyFill="1" applyAlignment="1">
      <alignment vertical="center"/>
    </xf>
    <xf numFmtId="10" fontId="2" fillId="2" borderId="0" xfId="3" applyNumberFormat="1" applyFont="1" applyFill="1" applyAlignment="1">
      <alignment vertical="center"/>
    </xf>
    <xf numFmtId="0" fontId="10" fillId="2" borderId="0" xfId="0" applyFont="1" applyFill="1" applyAlignment="1">
      <alignment vertical="center" wrapText="1"/>
    </xf>
    <xf numFmtId="166" fontId="2" fillId="3" borderId="0" xfId="3" applyNumberFormat="1" applyFont="1" applyFill="1" applyAlignment="1">
      <alignment vertical="center" wrapText="1"/>
    </xf>
    <xf numFmtId="165" fontId="2" fillId="3" borderId="0" xfId="2" applyFont="1" applyFill="1" applyAlignment="1">
      <alignment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166" fontId="2" fillId="3" borderId="0" xfId="3" applyNumberFormat="1" applyFont="1" applyFill="1" applyAlignment="1">
      <alignment horizontal="center" vertical="center" wrapText="1"/>
    </xf>
    <xf numFmtId="166" fontId="2" fillId="0" borderId="0" xfId="3" applyNumberFormat="1" applyFont="1" applyFill="1" applyAlignment="1">
      <alignment horizontal="center" vertical="center"/>
    </xf>
    <xf numFmtId="166" fontId="2" fillId="0" borderId="0" xfId="3" applyNumberFormat="1" applyFont="1" applyAlignment="1">
      <alignment vertical="center" wrapText="1"/>
    </xf>
    <xf numFmtId="0" fontId="2" fillId="0" borderId="0" xfId="0" applyFont="1" applyAlignment="1">
      <alignment vertical="center"/>
    </xf>
    <xf numFmtId="1" fontId="2" fillId="0" borderId="0" xfId="0" applyNumberFormat="1" applyFont="1" applyAlignment="1">
      <alignment vertical="center"/>
    </xf>
    <xf numFmtId="2" fontId="2" fillId="0" borderId="0" xfId="0" applyNumberFormat="1" applyFont="1" applyAlignment="1">
      <alignment vertical="center"/>
    </xf>
    <xf numFmtId="2" fontId="2" fillId="0" borderId="0" xfId="2" applyNumberFormat="1" applyFont="1" applyAlignment="1">
      <alignment vertical="center"/>
    </xf>
    <xf numFmtId="165" fontId="2" fillId="0" borderId="0" xfId="2" applyFont="1" applyAlignment="1">
      <alignment vertical="center"/>
    </xf>
    <xf numFmtId="171" fontId="2" fillId="0" borderId="0" xfId="2" applyNumberFormat="1" applyFont="1" applyAlignment="1">
      <alignment vertical="center"/>
    </xf>
    <xf numFmtId="165" fontId="2" fillId="0" borderId="0" xfId="0" applyNumberFormat="1" applyFont="1" applyAlignment="1">
      <alignment vertical="center"/>
    </xf>
    <xf numFmtId="10" fontId="2" fillId="0" borderId="0" xfId="3" applyNumberFormat="1" applyFont="1" applyAlignment="1">
      <alignment vertical="center" wrapText="1"/>
    </xf>
    <xf numFmtId="173" fontId="2" fillId="0" borderId="0" xfId="0" applyNumberFormat="1" applyFont="1" applyAlignment="1">
      <alignment vertical="center"/>
    </xf>
    <xf numFmtId="167" fontId="2" fillId="0" borderId="0" xfId="2" applyNumberFormat="1" applyFont="1" applyAlignment="1">
      <alignment vertical="center"/>
    </xf>
    <xf numFmtId="169" fontId="2" fillId="0" borderId="0" xfId="2" applyNumberFormat="1" applyFont="1" applyAlignment="1">
      <alignment vertical="center"/>
    </xf>
    <xf numFmtId="173" fontId="2" fillId="0" borderId="0" xfId="2" applyNumberFormat="1" applyFont="1" applyAlignment="1">
      <alignment vertical="center"/>
    </xf>
    <xf numFmtId="172" fontId="2" fillId="0" borderId="0" xfId="0" applyNumberFormat="1" applyFont="1" applyAlignment="1">
      <alignment vertical="center"/>
    </xf>
    <xf numFmtId="172" fontId="2" fillId="0" borderId="0" xfId="2" applyNumberFormat="1" applyFont="1" applyAlignment="1">
      <alignment vertical="center"/>
    </xf>
    <xf numFmtId="164" fontId="2" fillId="0" borderId="0" xfId="0" applyNumberFormat="1" applyFont="1" applyAlignment="1">
      <alignment vertical="center"/>
    </xf>
    <xf numFmtId="10" fontId="2" fillId="0" borderId="0" xfId="3" applyNumberFormat="1" applyFont="1" applyAlignment="1">
      <alignment vertical="center"/>
    </xf>
    <xf numFmtId="170" fontId="2" fillId="0" borderId="0" xfId="2" applyNumberFormat="1" applyFont="1" applyAlignment="1">
      <alignment vertical="center"/>
    </xf>
    <xf numFmtId="166" fontId="2" fillId="0" borderId="0" xfId="3" applyNumberFormat="1" applyFont="1" applyAlignment="1">
      <alignment vertical="center"/>
    </xf>
    <xf numFmtId="166" fontId="2" fillId="0" borderId="0" xfId="3" applyNumberFormat="1" applyFont="1" applyAlignment="1">
      <alignment horizontal="center" vertical="center"/>
    </xf>
    <xf numFmtId="166" fontId="2" fillId="0" borderId="0" xfId="3" applyNumberFormat="1" applyFont="1" applyAlignment="1">
      <alignment horizontal="center" vertical="center" wrapText="1"/>
    </xf>
    <xf numFmtId="10" fontId="2" fillId="0" borderId="0" xfId="3" applyNumberFormat="1" applyFont="1" applyAlignment="1">
      <alignment horizontal="center" vertical="center"/>
    </xf>
    <xf numFmtId="165" fontId="2" fillId="0" borderId="0" xfId="2" applyFont="1" applyFill="1" applyBorder="1" applyAlignment="1">
      <alignment vertical="center"/>
    </xf>
    <xf numFmtId="165" fontId="2" fillId="0" borderId="0" xfId="2" applyFont="1" applyBorder="1" applyAlignment="1">
      <alignment vertical="center"/>
    </xf>
    <xf numFmtId="166" fontId="2" fillId="0" borderId="0" xfId="3" applyNumberFormat="1" applyFont="1" applyAlignment="1">
      <alignment horizontal="center"/>
    </xf>
    <xf numFmtId="165" fontId="2" fillId="0" borderId="0" xfId="2" applyFont="1"/>
    <xf numFmtId="0" fontId="11" fillId="0" borderId="0" xfId="0" applyFont="1" applyAlignment="1">
      <alignment vertical="center" wrapText="1"/>
    </xf>
    <xf numFmtId="0" fontId="11" fillId="0" borderId="0" xfId="0" applyFont="1" applyAlignment="1">
      <alignment vertical="center"/>
    </xf>
    <xf numFmtId="0" fontId="11" fillId="0" borderId="9" xfId="0" applyFont="1" applyBorder="1" applyAlignment="1">
      <alignment vertical="center" wrapText="1"/>
    </xf>
    <xf numFmtId="165" fontId="12" fillId="0" borderId="0" xfId="0" applyNumberFormat="1" applyFont="1" applyAlignment="1">
      <alignment vertical="center"/>
    </xf>
    <xf numFmtId="165" fontId="11" fillId="0" borderId="0" xfId="2" applyFont="1" applyAlignment="1">
      <alignment vertical="center" wrapText="1"/>
    </xf>
    <xf numFmtId="0" fontId="11" fillId="0" borderId="10" xfId="0" applyFont="1" applyBorder="1" applyAlignment="1">
      <alignment vertical="center" wrapText="1"/>
    </xf>
    <xf numFmtId="165" fontId="11" fillId="0" borderId="0" xfId="0" applyNumberFormat="1" applyFont="1" applyAlignment="1">
      <alignment wrapText="1"/>
    </xf>
    <xf numFmtId="0" fontId="11" fillId="0" borderId="0" xfId="0" applyFont="1" applyAlignment="1">
      <alignment wrapText="1"/>
    </xf>
    <xf numFmtId="0" fontId="13" fillId="3" borderId="0" xfId="0" applyFont="1" applyFill="1" applyAlignment="1">
      <alignment vertical="center" wrapText="1"/>
    </xf>
    <xf numFmtId="0" fontId="8" fillId="4" borderId="0" xfId="0" applyFont="1" applyFill="1" applyAlignment="1" applyProtection="1">
      <alignment vertical="center"/>
      <protection locked="0"/>
    </xf>
    <xf numFmtId="166" fontId="0" fillId="0" borderId="0" xfId="0" applyNumberFormat="1" applyAlignment="1">
      <alignment horizontal="center"/>
    </xf>
    <xf numFmtId="165" fontId="0" fillId="0" borderId="0" xfId="0" applyNumberFormat="1"/>
    <xf numFmtId="166" fontId="0" fillId="0" borderId="0" xfId="0" applyNumberFormat="1" applyAlignment="1">
      <alignment vertical="center" wrapText="1"/>
    </xf>
    <xf numFmtId="165" fontId="0" fillId="0" borderId="0" xfId="0" applyNumberFormat="1" applyAlignment="1">
      <alignment vertical="center"/>
    </xf>
    <xf numFmtId="166" fontId="0" fillId="0" borderId="0" xfId="3" applyNumberFormat="1" applyFont="1" applyFill="1" applyAlignment="1">
      <alignment horizontal="center" vertical="center"/>
    </xf>
    <xf numFmtId="166" fontId="0" fillId="0" borderId="0" xfId="3" applyNumberFormat="1" applyFont="1" applyAlignment="1">
      <alignment horizontal="center" vertical="center"/>
    </xf>
    <xf numFmtId="0" fontId="6" fillId="5" borderId="0" xfId="0" applyFont="1" applyFill="1" applyAlignment="1">
      <alignment horizontal="centerContinuous" vertical="center"/>
    </xf>
    <xf numFmtId="166" fontId="6" fillId="4" borderId="0" xfId="3" applyNumberFormat="1" applyFont="1" applyFill="1" applyAlignment="1">
      <alignment horizontal="centerContinuous" vertical="center"/>
    </xf>
    <xf numFmtId="166" fontId="0" fillId="0" borderId="0" xfId="3" applyNumberFormat="1" applyFont="1" applyAlignment="1">
      <alignment horizontal="center" vertical="center" wrapText="1"/>
    </xf>
    <xf numFmtId="0" fontId="0" fillId="0" borderId="0" xfId="0" applyAlignment="1">
      <alignment vertical="top"/>
    </xf>
    <xf numFmtId="166" fontId="2" fillId="0" borderId="0" xfId="3" applyNumberFormat="1" applyFont="1" applyFill="1" applyAlignment="1">
      <alignment horizontal="center" vertical="center" wrapText="1"/>
    </xf>
    <xf numFmtId="165" fontId="0" fillId="0" borderId="0" xfId="2" applyFont="1" applyFill="1" applyAlignment="1">
      <alignment vertical="center"/>
    </xf>
    <xf numFmtId="166" fontId="0" fillId="0" borderId="0" xfId="0" applyNumberFormat="1" applyAlignment="1">
      <alignment horizontal="center" vertical="center"/>
    </xf>
    <xf numFmtId="165" fontId="12" fillId="0" borderId="0" xfId="0" applyNumberFormat="1" applyFont="1"/>
    <xf numFmtId="166" fontId="2" fillId="0" borderId="0" xfId="0" applyNumberFormat="1" applyFont="1" applyAlignment="1">
      <alignment horizontal="center"/>
    </xf>
    <xf numFmtId="165" fontId="2" fillId="0" borderId="0" xfId="0" applyNumberFormat="1" applyFont="1"/>
    <xf numFmtId="0" fontId="6" fillId="4" borderId="0" xfId="3" applyNumberFormat="1" applyFont="1" applyFill="1" applyAlignment="1">
      <alignment horizontal="centerContinuous" vertical="center"/>
    </xf>
    <xf numFmtId="0" fontId="15" fillId="4" borderId="0" xfId="3" applyNumberFormat="1" applyFont="1" applyFill="1" applyAlignment="1">
      <alignment horizontal="centerContinuous" vertical="center"/>
    </xf>
    <xf numFmtId="0" fontId="14" fillId="6" borderId="11" xfId="0" applyFont="1" applyFill="1" applyBorder="1" applyAlignment="1">
      <alignment vertical="center"/>
    </xf>
    <xf numFmtId="0" fontId="14" fillId="6" borderId="12" xfId="0" applyFont="1" applyFill="1" applyBorder="1" applyAlignment="1">
      <alignment vertical="center"/>
    </xf>
    <xf numFmtId="0" fontId="14" fillId="3" borderId="12" xfId="3" applyNumberFormat="1" applyFont="1" applyFill="1" applyBorder="1" applyAlignment="1">
      <alignment horizontal="center" vertical="center" wrapText="1"/>
    </xf>
    <xf numFmtId="0" fontId="14" fillId="3" borderId="10" xfId="0" applyFont="1" applyFill="1" applyBorder="1" applyAlignment="1">
      <alignment vertical="center" wrapText="1"/>
    </xf>
    <xf numFmtId="0" fontId="16" fillId="0" borderId="0" xfId="0" applyFont="1" applyAlignment="1">
      <alignment vertical="center" wrapText="1"/>
    </xf>
    <xf numFmtId="0" fontId="16" fillId="0" borderId="0" xfId="0" applyFont="1" applyAlignment="1">
      <alignment wrapText="1"/>
    </xf>
    <xf numFmtId="165" fontId="17" fillId="0" borderId="0" xfId="0" applyNumberFormat="1" applyFont="1"/>
    <xf numFmtId="165" fontId="16" fillId="0" borderId="0" xfId="2" applyFont="1" applyFill="1" applyAlignment="1">
      <alignment vertical="center" wrapText="1"/>
    </xf>
    <xf numFmtId="166" fontId="0" fillId="0" borderId="0" xfId="0" applyNumberFormat="1" applyAlignment="1">
      <alignment horizontal="center" vertical="center" wrapText="1"/>
    </xf>
    <xf numFmtId="165" fontId="16" fillId="0" borderId="0" xfId="0" applyNumberFormat="1" applyFont="1" applyAlignment="1">
      <alignment vertical="center" wrapText="1"/>
    </xf>
    <xf numFmtId="0" fontId="9" fillId="0" borderId="0" xfId="1" applyBorder="1" applyAlignment="1">
      <alignment horizontal="left" vertical="center"/>
    </xf>
    <xf numFmtId="0" fontId="7" fillId="0" borderId="0" xfId="0" applyFont="1" applyAlignment="1">
      <alignment horizontal="left" vertical="center" wrapText="1"/>
    </xf>
    <xf numFmtId="0" fontId="0" fillId="0" borderId="0" xfId="0" applyAlignment="1">
      <alignment horizontal="left" vertical="center" wrapText="1"/>
    </xf>
  </cellXfs>
  <cellStyles count="4">
    <cellStyle name="Lien hypertexte" xfId="1" builtinId="8"/>
    <cellStyle name="Milliers" xfId="2" builtinId="3"/>
    <cellStyle name="Normal" xfId="0" builtinId="0"/>
    <cellStyle name="Pourcentage" xfId="3" builtinId="5"/>
  </cellStyles>
  <dxfs count="190">
    <dxf>
      <font>
        <b/>
        <i val="0"/>
        <strike val="0"/>
        <condense val="0"/>
        <extend val="0"/>
        <outline val="0"/>
        <shadow val="0"/>
        <u val="none"/>
        <vertAlign val="baseline"/>
        <sz val="10"/>
        <color theme="4" tint="-0.249977111117893"/>
        <name val="Arial"/>
        <family val="2"/>
        <scheme val="none"/>
      </font>
      <numFmt numFmtId="165" formatCode="_(* #,##0.00_);_(* \(#,##0.00\);_(* &quot;-&quot;??_);_(@_)"/>
      <alignment horizontal="general" vertical="center" textRotation="0" wrapText="0" indent="0" justifyLastLine="0" shrinkToFit="0" readingOrder="0"/>
    </dxf>
    <dxf>
      <font>
        <strike val="0"/>
        <outline val="0"/>
        <shadow val="0"/>
        <u val="none"/>
        <vertAlign val="baseline"/>
        <color theme="4" tint="-0.249977111117893"/>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strike val="0"/>
        <outline val="0"/>
        <shadow val="0"/>
        <u val="none"/>
        <vertAlign val="baseline"/>
        <color auto="1"/>
        <name val="Arial"/>
        <family val="2"/>
        <scheme val="none"/>
      </font>
      <alignment horizontal="general" vertical="center" textRotation="0" indent="0" justifyLastLine="0" shrinkToFit="0" readingOrder="0"/>
    </dxf>
    <dxf>
      <numFmt numFmtId="165" formatCode="_(* #,##0.00_);_(* \(#,##0.00\);_(* &quot;-&quot;??_);_(@_)"/>
      <alignment horizontal="general" vertical="center" textRotation="0" wrapText="0" indent="0" justifyLastLine="0" shrinkToFit="0" readingOrder="0"/>
    </dxf>
    <dxf>
      <font>
        <strike val="0"/>
        <outline val="0"/>
        <shadow val="0"/>
        <u val="none"/>
        <vertAlign val="baseline"/>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strike val="0"/>
        <outline val="0"/>
        <shadow val="0"/>
        <u val="none"/>
        <vertAlign val="baseline"/>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strike val="0"/>
        <outline val="0"/>
        <shadow val="0"/>
        <u val="none"/>
        <vertAlign val="baseline"/>
        <color auto="1"/>
        <name val="Arial"/>
        <family val="2"/>
        <scheme val="none"/>
      </font>
      <alignment horizontal="general" vertical="center" textRotation="0" indent="0" justifyLastLine="0" shrinkToFit="0" readingOrder="0"/>
    </dxf>
    <dxf>
      <numFmt numFmtId="165" formatCode="_(* #,##0.00_);_(* \(#,##0.00\);_(* &quot;-&quot;??_);_(@_)"/>
      <alignment horizontal="general" vertical="center" textRotation="0" wrapText="0" indent="0" justifyLastLine="0" shrinkToFit="0" readingOrder="0"/>
    </dxf>
    <dxf>
      <font>
        <strike val="0"/>
        <outline val="0"/>
        <shadow val="0"/>
        <u val="none"/>
        <vertAlign val="baseline"/>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strike val="0"/>
        <outline val="0"/>
        <shadow val="0"/>
        <u val="none"/>
        <vertAlign val="baseline"/>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strike val="0"/>
        <outline val="0"/>
        <shadow val="0"/>
        <u val="none"/>
        <vertAlign val="baseline"/>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strike val="0"/>
        <outline val="0"/>
        <shadow val="0"/>
        <u val="none"/>
        <vertAlign val="baseline"/>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strike val="0"/>
        <outline val="0"/>
        <shadow val="0"/>
        <u val="none"/>
        <vertAlign val="baseline"/>
        <color auto="1"/>
        <name val="Arial"/>
        <family val="2"/>
        <scheme val="none"/>
      </font>
      <alignment horizontal="general" vertical="center" textRotation="0" indent="0" justifyLastLine="0" shrinkToFit="0" readingOrder="0"/>
    </dxf>
    <dxf>
      <numFmt numFmtId="166" formatCode="0.0%"/>
      <alignment horizontal="general" vertical="center" textRotation="0" wrapText="1" indent="0" justifyLastLine="0" shrinkToFit="0" readingOrder="0"/>
    </dxf>
    <dxf>
      <font>
        <strike val="0"/>
        <outline val="0"/>
        <shadow val="0"/>
        <u val="none"/>
        <vertAlign val="baseline"/>
        <color auto="1"/>
        <name val="Arial"/>
        <family val="2"/>
        <scheme val="none"/>
      </font>
      <numFmt numFmtId="166" formatCode="0.0%"/>
      <alignment horizontal="general" vertical="center" textRotation="0" wrapText="1" indent="0" justifyLastLine="0" shrinkToFit="0" readingOrder="0"/>
    </dxf>
    <dxf>
      <numFmt numFmtId="165" formatCode="_(* #,##0.00_);_(* \(#,##0.00\);_(* &quot;-&quot;??_);_(@_)"/>
      <fill>
        <patternFill patternType="solid">
          <fgColor indexed="64"/>
          <bgColor theme="0" tint="-0.34998626667073579"/>
        </patternFill>
      </fill>
      <alignment horizontal="general" vertical="center" textRotation="0" wrapText="1" indent="0" justifyLastLine="0" shrinkToFit="0" readingOrder="0"/>
    </dxf>
    <dxf>
      <fill>
        <patternFill patternType="solid">
          <fgColor indexed="64"/>
          <bgColor theme="0" tint="-0.34998626667073579"/>
        </patternFill>
      </fill>
      <alignment horizontal="general" vertical="center" textRotation="0" wrapText="1" indent="0" justifyLastLine="0" shrinkToFit="0" readingOrder="0"/>
    </dxf>
    <dxf>
      <numFmt numFmtId="165" formatCode="_(* #,##0.00_);_(* \(#,##0.00\);_(* &quot;-&quot;??_);_(@_)"/>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4" tint="-0.249977111117893"/>
        <name val="Arial"/>
        <family val="2"/>
        <scheme val="none"/>
      </font>
      <numFmt numFmtId="165" formatCode="_(* #,##0.00_);_(* \(#,##0.00\);_(* &quot;-&quot;??_);_(@_)"/>
      <alignment horizontal="general" vertical="bottom" textRotation="0" wrapText="1" indent="0" justifyLastLine="0" shrinkToFit="0" readingOrder="0"/>
    </dxf>
    <dxf>
      <font>
        <strike val="0"/>
        <outline val="0"/>
        <shadow val="0"/>
        <u val="none"/>
        <vertAlign val="baseline"/>
        <color theme="4" tint="-0.249977111117893"/>
        <name val="Arial"/>
        <family val="2"/>
        <scheme val="none"/>
      </font>
      <alignment horizontal="general" vertical="center" textRotation="0" wrapText="1" indent="0" justifyLastLine="0" shrinkToFit="0" readingOrder="0"/>
    </dxf>
    <dxf>
      <numFmt numFmtId="165" formatCode="_(* #,##0.00_);_(* \(#,##0.00\);_(* &quot;-&quot;??_);_(@_)"/>
    </dxf>
    <dxf>
      <font>
        <strike val="0"/>
        <outline val="0"/>
        <shadow val="0"/>
        <u val="none"/>
        <vertAlign val="baseline"/>
        <color auto="1"/>
        <name val="Arial"/>
        <family val="2"/>
        <scheme val="none"/>
      </font>
      <alignment horizontal="general" vertical="center" textRotation="0" indent="0" justifyLastLine="0" shrinkToFit="0" readingOrder="0"/>
    </dxf>
    <dxf>
      <numFmt numFmtId="165" formatCode="_(* #,##0.00_);_(* \(#,##0.00\);_(* &quot;-&quot;??_);_(@_)"/>
    </dxf>
    <dxf>
      <font>
        <strike val="0"/>
        <outline val="0"/>
        <shadow val="0"/>
        <u val="none"/>
        <vertAlign val="baseline"/>
        <color auto="1"/>
        <name val="Arial"/>
        <family val="2"/>
        <scheme val="none"/>
      </font>
      <alignment horizontal="general" vertical="center" textRotation="0" indent="0" justifyLastLine="0" shrinkToFit="0" readingOrder="0"/>
    </dxf>
    <dxf>
      <numFmt numFmtId="165" formatCode="_(* #,##0.00_);_(* \(#,##0.00\);_(* &quot;-&quot;??_);_(@_)"/>
    </dxf>
    <dxf>
      <font>
        <strike val="0"/>
        <outline val="0"/>
        <shadow val="0"/>
        <u val="none"/>
        <vertAlign val="baseline"/>
        <color auto="1"/>
        <name val="Arial"/>
        <family val="2"/>
        <scheme val="none"/>
      </font>
      <alignment horizontal="general" vertical="center" textRotation="0" indent="0" justifyLastLine="0" shrinkToFit="0" readingOrder="0"/>
    </dxf>
    <dxf>
      <numFmt numFmtId="165" formatCode="_(* #,##0.00_);_(* \(#,##0.00\);_(* &quot;-&quot;??_);_(@_)"/>
    </dxf>
    <dxf>
      <font>
        <strike val="0"/>
        <outline val="0"/>
        <shadow val="0"/>
        <u val="none"/>
        <vertAlign val="baseline"/>
        <color auto="1"/>
        <name val="Arial"/>
        <family val="2"/>
        <scheme val="none"/>
      </font>
      <alignment horizontal="general" vertical="center" textRotation="0" indent="0" justifyLastLine="0" shrinkToFit="0" readingOrder="0"/>
    </dxf>
    <dxf>
      <numFmt numFmtId="165" formatCode="_(* #,##0.00_);_(* \(#,##0.00\);_(* &quot;-&quot;??_);_(@_)"/>
    </dxf>
    <dxf>
      <font>
        <strike val="0"/>
        <outline val="0"/>
        <shadow val="0"/>
        <u val="none"/>
        <vertAlign val="baseline"/>
        <color auto="1"/>
        <name val="Arial"/>
        <family val="2"/>
        <scheme val="none"/>
      </font>
      <alignment horizontal="general" vertical="center" textRotation="0" indent="0" justifyLastLine="0" shrinkToFit="0" readingOrder="0"/>
    </dxf>
    <dxf>
      <numFmt numFmtId="165" formatCode="_(* #,##0.00_);_(* \(#,##0.00\);_(* &quot;-&quot;??_);_(@_)"/>
    </dxf>
    <dxf>
      <font>
        <strike val="0"/>
        <outline val="0"/>
        <shadow val="0"/>
        <u val="none"/>
        <vertAlign val="baseline"/>
        <color auto="1"/>
        <name val="Arial"/>
        <family val="2"/>
        <scheme val="none"/>
      </font>
      <alignment horizontal="general" vertical="center" textRotation="0" indent="0" justifyLastLine="0" shrinkToFit="0" readingOrder="0"/>
    </dxf>
    <dxf>
      <numFmt numFmtId="165" formatCode="_(* #,##0.00_);_(* \(#,##0.00\);_(* &quot;-&quot;??_);_(@_)"/>
    </dxf>
    <dxf>
      <font>
        <strike val="0"/>
        <outline val="0"/>
        <shadow val="0"/>
        <u val="none"/>
        <vertAlign val="baseline"/>
        <color auto="1"/>
        <name val="Arial"/>
        <family val="2"/>
        <scheme val="none"/>
      </font>
      <alignment horizontal="general" vertical="center" textRotation="0" indent="0" justifyLastLine="0" shrinkToFit="0" readingOrder="0"/>
    </dxf>
    <dxf>
      <numFmt numFmtId="165" formatCode="_(* #,##0.00_);_(* \(#,##0.00\);_(* &quot;-&quot;??_);_(@_)"/>
    </dxf>
    <dxf>
      <font>
        <strike val="0"/>
        <outline val="0"/>
        <shadow val="0"/>
        <u val="none"/>
        <vertAlign val="baseline"/>
        <color auto="1"/>
        <name val="Arial"/>
        <family val="2"/>
        <scheme val="none"/>
      </font>
      <alignment horizontal="general" vertical="center" textRotation="0" indent="0" justifyLastLine="0" shrinkToFit="0" readingOrder="0"/>
    </dxf>
    <dxf>
      <numFmt numFmtId="165" formatCode="_(* #,##0.00_);_(* \(#,##0.00\);_(* &quot;-&quot;??_);_(@_)"/>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numFmt numFmtId="165" formatCode="_(* #,##0.00_);_(* \(#,##0.00\);_(* &quot;-&quot;??_);_(@_)"/>
    </dxf>
    <dxf>
      <font>
        <strike val="0"/>
        <outline val="0"/>
        <shadow val="0"/>
        <u val="none"/>
        <vertAlign val="baseline"/>
        <color auto="1"/>
        <name val="Arial"/>
        <family val="2"/>
        <scheme val="none"/>
      </font>
      <alignment horizontal="general" vertical="center" textRotation="0" indent="0" justifyLastLine="0" shrinkToFit="0" readingOrder="0"/>
    </dxf>
    <dxf>
      <numFmt numFmtId="166" formatCode="0.0%"/>
      <alignment horizontal="center" vertical="bottom" textRotation="0" wrapText="0" indent="0" justifyLastLine="0" shrinkToFit="0" readingOrder="0"/>
    </dxf>
    <dxf>
      <font>
        <strike val="0"/>
        <outline val="0"/>
        <shadow val="0"/>
        <u val="none"/>
        <vertAlign val="baseline"/>
        <color auto="1"/>
        <name val="Arial"/>
        <family val="2"/>
        <scheme val="none"/>
      </font>
      <numFmt numFmtId="166" formatCode="0.0%"/>
      <alignment horizontal="center" vertical="center" textRotation="0" indent="0" justifyLastLine="0" shrinkToFit="0" readingOrder="0"/>
    </dxf>
    <dxf>
      <fill>
        <patternFill patternType="solid">
          <fgColor indexed="64"/>
          <bgColor theme="0" tint="-0.34998626667073579"/>
        </patternFill>
      </fill>
      <alignment horizontal="general" vertical="center" textRotation="0" wrapText="1" indent="0" justifyLastLine="0" shrinkToFit="0" readingOrder="0"/>
    </dxf>
    <dxf>
      <fill>
        <patternFill patternType="solid">
          <fgColor indexed="64"/>
          <bgColor theme="0" tint="-0.34998626667073579"/>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theme="4" tint="-0.249977111117893"/>
        <name val="Arial"/>
        <family val="2"/>
        <scheme val="none"/>
      </font>
      <numFmt numFmtId="165" formatCode="_(* #,##0.00_);_(* \(#,##0.00\);_(* &quot;-&quot;??_);_(@_)"/>
    </dxf>
    <dxf>
      <font>
        <strike val="0"/>
        <outline val="0"/>
        <shadow val="0"/>
        <u val="none"/>
        <vertAlign val="baseline"/>
        <color theme="4" tint="-0.249977111117893"/>
        <name val="Arial"/>
        <family val="2"/>
        <scheme val="none"/>
      </font>
      <alignment horizontal="general" vertical="center" textRotation="0" wrapText="1"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6" formatCode="0.0%"/>
      <alignment horizontal="center" vertical="center" textRotation="0" wrapText="0" indent="0" justifyLastLine="0" shrinkToFit="0" readingOrder="0"/>
    </dxf>
    <dxf>
      <font>
        <name val="Arial"/>
        <family val="2"/>
        <scheme val="none"/>
      </font>
      <numFmt numFmtId="166" formatCode="0.0%"/>
      <alignment horizontal="center" vertical="center" textRotation="0" wrapText="0" indent="0" justifyLastLine="0" shrinkToFit="0" readingOrder="0"/>
    </dxf>
    <dxf>
      <fill>
        <patternFill patternType="solid">
          <fgColor indexed="64"/>
          <bgColor theme="0" tint="-0.34998626667073579"/>
        </patternFill>
      </fill>
      <alignment horizontal="general" vertical="center" textRotation="0" wrapText="1" indent="0" justifyLastLine="0" shrinkToFit="0" readingOrder="0"/>
    </dxf>
    <dxf>
      <fill>
        <patternFill patternType="solid">
          <fgColor indexed="64"/>
          <bgColor theme="0" tint="-0.34998626667073579"/>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tint="-0.499984740745262"/>
        </patternFill>
      </fill>
      <alignment horizontal="general" vertical="center" textRotation="0" wrapText="1" indent="0" justifyLastLine="0" shrinkToFit="0" readingOrder="0"/>
    </dxf>
    <dxf>
      <font>
        <b val="0"/>
        <i val="0"/>
        <strike val="0"/>
        <condense val="0"/>
        <extend val="0"/>
        <outline val="0"/>
        <shadow val="0"/>
        <u val="none"/>
        <vertAlign val="baseline"/>
        <sz val="10"/>
        <color rgb="FF2F75B5"/>
        <name val="Arial"/>
        <family val="2"/>
        <scheme val="none"/>
      </font>
      <numFmt numFmtId="165" formatCode="_(* #,##0.00_);_(* \(#,##0.00\);_(* &quot;-&quot;??_);_(@_)"/>
      <alignment horizontal="general" vertical="center" textRotation="0" wrapText="1" indent="0" justifyLastLine="0" shrinkToFit="0" readingOrder="0"/>
    </dxf>
    <dxf>
      <font>
        <b val="0"/>
        <i val="0"/>
        <strike val="0"/>
        <condense val="0"/>
        <extend val="0"/>
        <outline val="0"/>
        <shadow val="0"/>
        <u val="none"/>
        <vertAlign val="baseline"/>
        <sz val="10"/>
        <color rgb="FF2F75B5"/>
        <name val="Arial"/>
        <family val="2"/>
        <scheme val="none"/>
      </font>
      <alignment horizontal="general" vertical="center" textRotation="0" wrapText="1" indent="0" justifyLastLine="0" shrinkToFit="0" readingOrder="0"/>
    </dxf>
    <dxf>
      <numFmt numFmtId="16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numFmt numFmtId="166" formatCode="0.0%"/>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0.0%"/>
      <alignment horizontal="center" vertical="center" textRotation="0" wrapText="1" indent="0" justifyLastLine="0" shrinkToFit="0" readingOrder="0"/>
    </dxf>
    <dxf>
      <fill>
        <patternFill patternType="solid">
          <fgColor indexed="64"/>
          <bgColor theme="0" tint="-0.34998626667073579"/>
        </patternFill>
      </fill>
      <alignment horizontal="general" vertical="center" textRotation="0" wrapText="1" indent="0" justifyLastLine="0" shrinkToFit="0" readingOrder="0"/>
    </dxf>
    <dxf>
      <fill>
        <patternFill patternType="solid">
          <fgColor indexed="64"/>
          <bgColor theme="0" tint="-0.34998626667073579"/>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0"/>
        <name val="Arial"/>
        <family val="2"/>
        <scheme val="none"/>
      </font>
      <numFmt numFmtId="166" formatCode="0.0%"/>
      <fill>
        <patternFill patternType="solid">
          <fgColor indexed="64"/>
          <bgColor theme="0" tint="-0.499984740745262"/>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314325</xdr:colOff>
      <xdr:row>0</xdr:row>
      <xdr:rowOff>171450</xdr:rowOff>
    </xdr:from>
    <xdr:to>
      <xdr:col>8</xdr:col>
      <xdr:colOff>1162050</xdr:colOff>
      <xdr:row>0</xdr:row>
      <xdr:rowOff>552450</xdr:rowOff>
    </xdr:to>
    <xdr:pic>
      <xdr:nvPicPr>
        <xdr:cNvPr id="2201" name="Image 2">
          <a:extLst>
            <a:ext uri="{FF2B5EF4-FFF2-40B4-BE49-F238E27FC236}">
              <a16:creationId xmlns:a16="http://schemas.microsoft.com/office/drawing/2014/main" id="{37648A79-D8AD-B125-6B73-EC8D402FB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5875" y="171450"/>
          <a:ext cx="16097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F96E46-0AAE-4F9E-BD98-9012DDF4C710}" name="Tableau4" displayName="Tableau4" ref="A2:W1019" totalsRowCount="1" headerRowDxfId="189" dataDxfId="188" headerRowCellStyle="Pourcentage" dataCellStyle="Milliers">
  <autoFilter ref="A2:W1018" xr:uid="{00000000-0009-0000-0100-000004000000}"/>
  <tableColumns count="23">
    <tableColumn id="1" xr3:uid="{0AC00DFE-E7A3-4B95-BE04-323C4FCC1BBE}" name="OMAEU" totalsRowFunction="custom" dataDxfId="187" totalsRowDxfId="186">
      <totalsRowFormula>SUBTOTAL(109,A3:A1018)</totalsRowFormula>
    </tableColumn>
    <tableColumn id="2" xr3:uid="{62D2A616-2BE1-4ABB-9022-9D294E3181F2}" name="Type de traitement" totalsRowFunction="custom" dataDxfId="185" totalsRowDxfId="184">
      <totalsRowFormula>SUBTOTAL(109,B3:B1018)</totalsRowFormula>
    </tableColumn>
    <tableColumn id="3" xr3:uid="{235F73DD-8E74-4E47-97BC-CD576885220C}" name="Municipalité" totalsRowFunction="custom" dataDxfId="183" totalsRowDxfId="182">
      <totalsRowFormula>SUBTOTAL(109,C3:C1018)</totalsRowFormula>
    </tableColumn>
    <tableColumn id="4" xr3:uid="{732CBF9E-97D0-4E05-BE77-B7DF54023D21}" name="MRC" totalsRowFunction="custom" dataDxfId="181" totalsRowDxfId="180">
      <totalsRowFormula>SUBTOTAL(109,D3:D1018)</totalsRowFormula>
    </tableColumn>
    <tableColumn id="23" xr3:uid="{7179240E-5214-4703-AEC0-247E70D6EC2A}" name="Année" dataDxfId="179" totalsRowDxfId="178"/>
    <tableColumn id="5" xr3:uid="{251C03E8-BB8C-4548-896C-C7A6E35318CD}" name="Mois" totalsRowFunction="custom" dataDxfId="177" totalsRowDxfId="176">
      <totalsRowFormula>SUBTOTAL(109,F3:F1018)</totalsRowFormula>
    </tableColumn>
    <tableColumn id="6" xr3:uid="{785C54EC-D3E4-4A35-A1DD-46A9106DDE5A}" name="Vidange des boues" totalsRowFunction="custom" dataDxfId="175" totalsRowDxfId="174">
      <totalsRowFormula>SUBTOTAL(109,G3:G1018)</totalsRowFormula>
    </tableColumn>
    <tableColumn id="7" xr3:uid="{0B0E4B92-003A-44B2-A097-8EBF359E6EB2}" name="Disposition des boues" totalsRowFunction="custom" dataDxfId="173" totalsRowDxfId="172">
      <totalsRowFormula>SUBTOTAL(109,H3:H1018)</totalsRowFormula>
    </tableColumn>
    <tableColumn id="8" xr3:uid="{07A2C587-2FEC-4211-8BB4-65C95CD59797}" name="Commentaire de vidange des boues" totalsRowFunction="custom" dataDxfId="171" totalsRowDxfId="170">
      <totalsRowFormula>SUBTOTAL(109,I3:I1018)</totalsRowFormula>
    </tableColumn>
    <tableColumn id="9" xr3:uid="{9DCD38CA-DAD5-40EC-9FDC-02BE4BAD6CC9}" name="Commentaire de disposition des boues" totalsRowFunction="custom" dataDxfId="169" totalsRowDxfId="168">
      <totalsRowFormula>SUBTOTAL(109,J3:J1018)</totalsRowFormula>
    </tableColumn>
    <tableColumn id="10" xr3:uid="{1EA4E0A6-C26E-4E0B-8288-0007C218023F}" name="Colonne1" totalsRowFunction="custom" dataDxfId="167" totalsRowDxfId="166">
      <totalsRowFormula>SUBTOTAL(109,K3:K1018)</totalsRowFormula>
    </tableColumn>
    <tableColumn id="11" xr3:uid="{F212263D-6DED-4727-99F0-9A1931505A50}" name="Siccité moyenne (%)" dataDxfId="165" totalsRowDxfId="164" dataCellStyle="Pourcentage"/>
    <tableColumn id="12" xr3:uid="{53B7F088-B62F-4BE1-8DCB-C8A22CA303F8}" name="Quantité (tonnes)_x000a_Compostage" totalsRowFunction="custom" dataDxfId="163" totalsRowDxfId="162" dataCellStyle="Milliers">
      <totalsRowFormula>SUBTOTAL(109,M3:M1018)</totalsRowFormula>
    </tableColumn>
    <tableColumn id="13" xr3:uid="{4D6F2C20-73A9-443F-80B8-E073B78FBDDA}" name="Quantité (tonnes)_x000a_Biométhanisation" totalsRowFunction="custom" dataDxfId="161" totalsRowDxfId="160" dataCellStyle="Milliers">
      <totalsRowFormula>SUBTOTAL(109,N3:N1018)</totalsRowFormula>
    </tableColumn>
    <tableColumn id="14" xr3:uid="{857A9F77-17A2-4BC7-A9E1-4E5DBAC207DB}" name="Quantité (tonnes)_x000a_Épandage agricole" totalsRowFunction="custom" dataDxfId="159" totalsRowDxfId="158" dataCellStyle="Milliers">
      <totalsRowFormula>SUBTOTAL(109,O3:O1018)</totalsRowFormula>
    </tableColumn>
    <tableColumn id="15" xr3:uid="{40E0AE14-493A-4656-AB97-75C82E7E2A1B}" name="Quantité (tonnes)_x000a_Restauration site" totalsRowFunction="custom" dataDxfId="157" totalsRowDxfId="156" dataCellStyle="Milliers">
      <totalsRowFormula>SUBTOTAL(109,P3:P1018)</totalsRowFormula>
    </tableColumn>
    <tableColumn id="16" xr3:uid="{29B49020-7240-49D8-87AA-52E3CBE8B18E}" name="Quantité (tonnes)_x000a_Sylviculture" totalsRowFunction="custom" dataDxfId="155" totalsRowDxfId="154" dataCellStyle="Milliers">
      <totalsRowFormula>SUBTOTAL(109,Q3:Q1018)</totalsRowFormula>
    </tableColumn>
    <tableColumn id="17" xr3:uid="{F293B4C0-87EA-4692-BCEC-AF2A7E114EE4}" name="Quantité (tonnes)_x000a_Mode recyclage non précisé" totalsRowFunction="custom" dataDxfId="153" totalsRowDxfId="152" dataCellStyle="Milliers">
      <totalsRowFormula>SUBTOTAL(109,R3:R1018)</totalsRowFormula>
    </tableColumn>
    <tableColumn id="18" xr3:uid="{12CE90F5-831A-4371-9015-E6E1510AA955}" name="Quantité (tonnes)_x000a_Enfouissement" totalsRowFunction="custom" dataDxfId="151" totalsRowDxfId="150" dataCellStyle="Milliers">
      <totalsRowFormula>SUBTOTAL(109,S3:S1018)</totalsRowFormula>
    </tableColumn>
    <tableColumn id="19" xr3:uid="{6CCE4E24-2BEB-4BAC-B916-B20026A4AE6A}" name="Quantité (tonnes)_x000a_Incinération" totalsRowFunction="custom" dataDxfId="149" totalsRowDxfId="148" dataCellStyle="Milliers">
      <totalsRowFormula>SUBTOTAL(109,T3:T1018)</totalsRowFormula>
    </tableColumn>
    <tableColumn id="20" xr3:uid="{54B9F03B-32C4-4D5D-80FC-9ED7045A7E68}" name="Quantité (tonnes)_x000a_Élimination" totalsRowFunction="custom" dataDxfId="147" totalsRowDxfId="146" dataCellStyle="Milliers">
      <totalsRowFormula>SUBTOTAL(109,U3:U1018)</totalsRowFormula>
    </tableColumn>
    <tableColumn id="21" xr3:uid="{4179EFA7-0A83-4B8A-9CCC-44EF0AEFF2D9}" name="Quantité (tonnes)_x000a_Mode de disposition non précisé" totalsRowFunction="custom" dataDxfId="145" totalsRowDxfId="144" dataCellStyle="Milliers">
      <totalsRowFormula>SUBTOTAL(109,V3:V1018)</totalsRowFormula>
    </tableColumn>
    <tableColumn id="22" xr3:uid="{0818E16F-7C34-434B-941F-8ED323BCDE79}" name="Notes de RECYC-QUÉBEC" totalsRowFunction="custom" dataDxfId="143" totalsRowDxfId="142">
      <totalsRowFormula>SUM(M1019:V1019)</totalsRow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0000000}" name="Tableau13" displayName="Tableau13" ref="A2:W990" totalsRowCount="1" headerRowDxfId="141" dataDxfId="140" headerRowCellStyle="Milliers" dataCellStyle="Milliers">
  <autoFilter ref="A2:W989" xr:uid="{00000000-0009-0000-0100-000034000000}"/>
  <sortState xmlns:xlrd2="http://schemas.microsoft.com/office/spreadsheetml/2017/richdata2" ref="A3:W989">
    <sortCondition ref="A2:A989"/>
  </sortState>
  <tableColumns count="23">
    <tableColumn id="1" xr3:uid="{00000000-0010-0000-0000-000001000000}" name="OMAEU" dataDxfId="139" totalsRowDxfId="138"/>
    <tableColumn id="2" xr3:uid="{00000000-0010-0000-0000-000002000000}" name="Type de traitement" dataDxfId="137" totalsRowDxfId="136"/>
    <tableColumn id="3" xr3:uid="{00000000-0010-0000-0000-000003000000}" name="Municipalité" dataDxfId="135" totalsRowDxfId="134"/>
    <tableColumn id="4" xr3:uid="{00000000-0010-0000-0000-000004000000}" name="MRC" dataDxfId="133" totalsRowDxfId="132"/>
    <tableColumn id="5" xr3:uid="{00000000-0010-0000-0000-000005000000}" name="Année" dataDxfId="131" totalsRowDxfId="130"/>
    <tableColumn id="6" xr3:uid="{00000000-0010-0000-0000-000006000000}" name="Mois" dataDxfId="129" totalsRowDxfId="128"/>
    <tableColumn id="7" xr3:uid="{00000000-0010-0000-0000-000007000000}" name="Vidange des boues" dataDxfId="127" totalsRowDxfId="126"/>
    <tableColumn id="8" xr3:uid="{00000000-0010-0000-0000-000008000000}" name="Disposition des boues" dataDxfId="125" totalsRowDxfId="124"/>
    <tableColumn id="9" xr3:uid="{00000000-0010-0000-0000-000009000000}" name="Commentaire de vidange des boues" dataDxfId="123" totalsRowDxfId="122"/>
    <tableColumn id="10" xr3:uid="{00000000-0010-0000-0000-00000A000000}" name="Commentaire de disposition des boues" dataDxfId="121" totalsRowDxfId="120"/>
    <tableColumn id="11" xr3:uid="{00000000-0010-0000-0000-00000B000000}" name="Colonne1" dataDxfId="119" totalsRowDxfId="118"/>
    <tableColumn id="12" xr3:uid="{00000000-0010-0000-0000-00000C000000}" name="Siccité moyenne (%)" dataDxfId="117" totalsRowDxfId="116" dataCellStyle="Pourcentage"/>
    <tableColumn id="13" xr3:uid="{00000000-0010-0000-0000-00000D000000}" name="Quantité (tonnes)_x000a_Compostage" totalsRowFunction="custom" dataDxfId="115" totalsRowDxfId="114" dataCellStyle="Milliers">
      <totalsRowFormula>SUBTOTAL(109,M3:M989)</totalsRowFormula>
    </tableColumn>
    <tableColumn id="14" xr3:uid="{00000000-0010-0000-0000-00000E000000}" name="Quantité (tonnes)_x000a_Biométhanisation" totalsRowFunction="custom" dataDxfId="113" totalsRowDxfId="112" dataCellStyle="Milliers">
      <totalsRowFormula>SUBTOTAL(109,N3:N989)</totalsRowFormula>
    </tableColumn>
    <tableColumn id="15" xr3:uid="{00000000-0010-0000-0000-00000F000000}" name="Quantité (tonnes)_x000a_Épandage agricole" totalsRowFunction="custom" dataDxfId="111" totalsRowDxfId="110" dataCellStyle="Milliers">
      <totalsRowFormula>SUBTOTAL(109,O3:O989)</totalsRowFormula>
    </tableColumn>
    <tableColumn id="16" xr3:uid="{00000000-0010-0000-0000-000010000000}" name="Quantité (tonnes)_x000a_Restauration site" totalsRowFunction="custom" dataDxfId="109" totalsRowDxfId="108" dataCellStyle="Milliers">
      <totalsRowFormula>SUBTOTAL(109,P3:P989)</totalsRowFormula>
    </tableColumn>
    <tableColumn id="17" xr3:uid="{00000000-0010-0000-0000-000011000000}" name="Quantité (tonnes)_x000a_Sylviculture" totalsRowFunction="custom" dataDxfId="107" totalsRowDxfId="106" dataCellStyle="Milliers">
      <totalsRowFormula>SUBTOTAL(109,Q3:Q989)</totalsRowFormula>
    </tableColumn>
    <tableColumn id="18" xr3:uid="{00000000-0010-0000-0000-000012000000}" name="Quantité (tonnes)_x000a_Mode recyclage non précisé" totalsRowFunction="custom" dataDxfId="105" totalsRowDxfId="104" dataCellStyle="Milliers">
      <totalsRowFormula>SUBTOTAL(109,R3:R989)</totalsRowFormula>
    </tableColumn>
    <tableColumn id="19" xr3:uid="{00000000-0010-0000-0000-000013000000}" name="Quantité (tonnes)_x000a_Enfouissement" totalsRowFunction="custom" dataDxfId="103" totalsRowDxfId="102" dataCellStyle="Milliers">
      <totalsRowFormula>SUBTOTAL(109,S3:S989)</totalsRowFormula>
    </tableColumn>
    <tableColumn id="20" xr3:uid="{00000000-0010-0000-0000-000014000000}" name="Quantité (tonnes)_x000a_Incinération" totalsRowFunction="custom" dataDxfId="101" totalsRowDxfId="100" dataCellStyle="Milliers">
      <totalsRowFormula>SUBTOTAL(109,T3:T989)</totalsRowFormula>
    </tableColumn>
    <tableColumn id="21" xr3:uid="{00000000-0010-0000-0000-000015000000}" name="Quantité (tonnes)_x000a_Élimination" totalsRowFunction="custom" dataDxfId="99" totalsRowDxfId="98" dataCellStyle="Milliers">
      <totalsRowFormula>SUBTOTAL(109,U3:U989)</totalsRowFormula>
    </tableColumn>
    <tableColumn id="22" xr3:uid="{00000000-0010-0000-0000-000016000000}" name="Quantité (tonnes)_x000a_Mode de disposition non précisé" totalsRowFunction="custom" dataDxfId="97" totalsRowDxfId="96" dataCellStyle="Milliers">
      <totalsRowFormula>SUBTOTAL(109,V3:V989)</totalsRowFormula>
    </tableColumn>
    <tableColumn id="23" xr3:uid="{00000000-0010-0000-0000-000017000000}" name="Notes de RECYC-QUÉBEC" totalsRowFunction="custom" dataDxfId="95" totalsRowDxfId="94">
      <totalsRowFormula>SUM(M990:V990)</totalsRowFormula>
    </tableColumn>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1000000}" name="Tableau2" displayName="Tableau2" ref="A2:W998" totalsRowCount="1" headerRowDxfId="93" dataDxfId="92">
  <autoFilter ref="A2:W997" xr:uid="{00000000-0009-0000-0100-000021000000}"/>
  <sortState xmlns:xlrd2="http://schemas.microsoft.com/office/spreadsheetml/2017/richdata2" ref="A3:W997">
    <sortCondition ref="A3:A997"/>
    <sortCondition ref="F3:F997" customList="janvier,février,mars,avril,mai,juin,juillet,août,septembre,octobre,novembre,décembre"/>
  </sortState>
  <tableColumns count="23">
    <tableColumn id="1" xr3:uid="{00000000-0010-0000-0100-000001000000}" name="OMAEU" dataDxfId="91" totalsRowDxfId="90"/>
    <tableColumn id="2" xr3:uid="{00000000-0010-0000-0100-000002000000}" name="Type de traitement" dataDxfId="89" totalsRowDxfId="88"/>
    <tableColumn id="3" xr3:uid="{00000000-0010-0000-0100-000003000000}" name="Municipalité" dataDxfId="87" totalsRowDxfId="86"/>
    <tableColumn id="4" xr3:uid="{00000000-0010-0000-0100-000004000000}" name="MRC" dataDxfId="85" totalsRowDxfId="84"/>
    <tableColumn id="5" xr3:uid="{00000000-0010-0000-0100-000005000000}" name="Année" dataDxfId="83" totalsRowDxfId="82"/>
    <tableColumn id="6" xr3:uid="{00000000-0010-0000-0100-000006000000}" name="Mois" dataDxfId="81" totalsRowDxfId="80"/>
    <tableColumn id="7" xr3:uid="{00000000-0010-0000-0100-000007000000}" name="Vidange des boues" dataDxfId="79" totalsRowDxfId="78"/>
    <tableColumn id="8" xr3:uid="{00000000-0010-0000-0100-000008000000}" name="Disposition des boues" dataDxfId="77" totalsRowDxfId="76"/>
    <tableColumn id="9" xr3:uid="{00000000-0010-0000-0100-000009000000}" name="Commentaire de vidange des boues" dataDxfId="75" totalsRowDxfId="74"/>
    <tableColumn id="10" xr3:uid="{00000000-0010-0000-0100-00000A000000}" name="Commentaire de disposition des boues" dataDxfId="73" totalsRowDxfId="72"/>
    <tableColumn id="260" xr3:uid="{00000000-0010-0000-0100-000004010000}" name="Colonne1" dataDxfId="71" totalsRowDxfId="70"/>
    <tableColumn id="11" xr3:uid="{00000000-0010-0000-0100-00000B000000}" name="Siccité moyenne (%)" dataDxfId="69" totalsRowDxfId="68" dataCellStyle="Pourcentage"/>
    <tableColumn id="12" xr3:uid="{00000000-0010-0000-0100-00000C000000}" name="Quantité (tonnes)_x000a_Compostage" totalsRowFunction="sum" dataDxfId="67" totalsRowDxfId="66" dataCellStyle="Milliers"/>
    <tableColumn id="261" xr3:uid="{00000000-0010-0000-0100-000005010000}" name="Quantité (tonnes)_x000a_Biométhanisation" totalsRowFunction="sum" dataDxfId="65" totalsRowDxfId="64" dataCellStyle="Milliers"/>
    <tableColumn id="13" xr3:uid="{00000000-0010-0000-0100-00000D000000}" name="Quantité (tonnes)_x000a_Épandage agricole" totalsRowFunction="sum" dataDxfId="63" totalsRowDxfId="62" dataCellStyle="Milliers"/>
    <tableColumn id="14" xr3:uid="{00000000-0010-0000-0100-00000E000000}" name="Quantité (tonnes)_x000a_Restauration site" totalsRowFunction="sum" dataDxfId="61" totalsRowDxfId="60" dataCellStyle="Milliers"/>
    <tableColumn id="15" xr3:uid="{00000000-0010-0000-0100-00000F000000}" name="Quantité (tonnes)_x000a_Sylviculture" totalsRowFunction="sum" dataDxfId="59" totalsRowDxfId="58" dataCellStyle="Milliers"/>
    <tableColumn id="16" xr3:uid="{00000000-0010-0000-0100-000010000000}" name="Quantité (tonnes)_x000a_Mode recyclage non précisé" totalsRowFunction="sum" dataDxfId="57" totalsRowDxfId="56" dataCellStyle="Milliers"/>
    <tableColumn id="17" xr3:uid="{00000000-0010-0000-0100-000011000000}" name="Quantité (tonnes)_x000a_Enfouissement" totalsRowFunction="sum" dataDxfId="55" totalsRowDxfId="54" dataCellStyle="Milliers"/>
    <tableColumn id="258" xr3:uid="{00000000-0010-0000-0100-000002010000}" name="Quantité (tonnes)_x000a_Incinération" totalsRowFunction="sum" dataDxfId="53" totalsRowDxfId="52" dataCellStyle="Milliers"/>
    <tableColumn id="259" xr3:uid="{00000000-0010-0000-0100-000003010000}" name="Quantité (tonnes)_x000a_Élimination" totalsRowFunction="sum" dataDxfId="51" totalsRowDxfId="50" dataCellStyle="Milliers"/>
    <tableColumn id="257" xr3:uid="{00000000-0010-0000-0100-000001010000}" name="Quantité (tonnes)_x000a_Mode de disposition non précisé" totalsRowFunction="sum" dataDxfId="49" totalsRowDxfId="48" dataCellStyle="Milliers"/>
    <tableColumn id="18" xr3:uid="{00000000-0010-0000-0100-000012000000}" name="Notes de RECYC-QUÉBEC" totalsRowFunction="custom" dataDxfId="47" totalsRowDxfId="46">
      <totalsRowFormula>SUM(M998:V998)</totalsRowFormula>
    </tableColumn>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au1" displayName="Tableau1" ref="A2:V1021" totalsRowCount="1" headerRowDxfId="45" dataDxfId="44">
  <autoFilter ref="A2:V1020" xr:uid="{00000000-0009-0000-0100-000001000000}"/>
  <sortState xmlns:xlrd2="http://schemas.microsoft.com/office/spreadsheetml/2017/richdata2" ref="A64:V962">
    <sortCondition ref="A2:A1020"/>
  </sortState>
  <tableColumns count="22">
    <tableColumn id="1" xr3:uid="{00000000-0010-0000-0200-000001000000}" name="OMAEU" dataDxfId="43" totalsRowDxfId="42"/>
    <tableColumn id="2" xr3:uid="{00000000-0010-0000-0200-000002000000}" name="Type de traitement" dataDxfId="41" totalsRowDxfId="40"/>
    <tableColumn id="3" xr3:uid="{00000000-0010-0000-0200-000003000000}" name="Municipalité" dataDxfId="39" totalsRowDxfId="38"/>
    <tableColumn id="4" xr3:uid="{00000000-0010-0000-0200-000004000000}" name="MRC" dataDxfId="37" totalsRowDxfId="36"/>
    <tableColumn id="5" xr3:uid="{00000000-0010-0000-0200-000005000000}" name="Année" dataDxfId="35" totalsRowDxfId="34"/>
    <tableColumn id="6" xr3:uid="{00000000-0010-0000-0200-000006000000}" name="Mois" dataDxfId="33" totalsRowDxfId="32"/>
    <tableColumn id="7" xr3:uid="{00000000-0010-0000-0200-000007000000}" name="Vidange des boues" dataDxfId="31" totalsRowDxfId="30"/>
    <tableColumn id="8" xr3:uid="{00000000-0010-0000-0200-000008000000}" name="Disposition des boues" dataDxfId="29" totalsRowDxfId="28"/>
    <tableColumn id="9" xr3:uid="{00000000-0010-0000-0200-000009000000}" name="Commentaire de vidange des boues" dataDxfId="27" totalsRowDxfId="26"/>
    <tableColumn id="10" xr3:uid="{00000000-0010-0000-0200-00000A000000}" name="Commentaire de disposition des boues" dataDxfId="25" totalsRowDxfId="24"/>
    <tableColumn id="24" xr3:uid="{00000000-0010-0000-0200-000018000000}" name=" " dataDxfId="23" totalsRowDxfId="22"/>
    <tableColumn id="17" xr3:uid="{00000000-0010-0000-0200-000011000000}" name="Siccité moyenne (%)" dataDxfId="21" totalsRowDxfId="20" dataCellStyle="Pourcentage"/>
    <tableColumn id="11" xr3:uid="{00000000-0010-0000-0200-00000B000000}" name="Quantité (tonnes)_x000a_Compostage" totalsRowFunction="sum" dataDxfId="19" totalsRowDxfId="18"/>
    <tableColumn id="14" xr3:uid="{00000000-0010-0000-0200-00000E000000}" name="Quantité (tonnes)_x000a_Épandage agricole" totalsRowFunction="sum" dataDxfId="17" totalsRowDxfId="16"/>
    <tableColumn id="15" xr3:uid="{00000000-0010-0000-0200-00000F000000}" name="Quantité (tonnes)_x000a_Restauration site" totalsRowFunction="sum" dataDxfId="15" totalsRowDxfId="14"/>
    <tableColumn id="16" xr3:uid="{00000000-0010-0000-0200-000010000000}" name="Quantité (tonnes)_x000a_Sylviculture" totalsRowFunction="sum" dataDxfId="13" totalsRowDxfId="12"/>
    <tableColumn id="21" xr3:uid="{00000000-0010-0000-0200-000015000000}" name="Quantité (tonnes)_x000a_Mode recyclage non précisé" totalsRowFunction="sum" dataDxfId="11" totalsRowDxfId="10"/>
    <tableColumn id="12" xr3:uid="{00000000-0010-0000-0200-00000C000000}" name="Quantité (tonnes)_x000a_Enfouissement" totalsRowFunction="sum" dataDxfId="9" totalsRowDxfId="8"/>
    <tableColumn id="18" xr3:uid="{00000000-0010-0000-0200-000012000000}" name="Quantité (tonnes)_x000a_Incinération" totalsRowFunction="sum" dataDxfId="7" totalsRowDxfId="6"/>
    <tableColumn id="19" xr3:uid="{00000000-0010-0000-0200-000013000000}" name="Quantité (tonnes)_x000a_Élimination" totalsRowFunction="sum" dataDxfId="5" totalsRowDxfId="4"/>
    <tableColumn id="13" xr3:uid="{00000000-0010-0000-0200-00000D000000}" name="Quantité (tonnes)_x000a_Mode de disposition non précisé" totalsRowFunction="sum" dataDxfId="3" totalsRowDxfId="2"/>
    <tableColumn id="20" xr3:uid="{00000000-0010-0000-0200-000014000000}" name="Notes de RECYC-QUÉBEC" totalsRowFunction="custom" dataDxfId="1" totalsRowDxfId="0">
      <totalsRowFormula>SUM(M1021:U1021)</totalsRowFormula>
    </tableColumn>
  </tableColumns>
  <tableStyleInfo name="TableStyleMedium15"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cyc-quebec.gouv.qc.ca/municipalites/mieux-gerer/plan-gestion-matieres-residuelles/boite-outils-pgmr"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8"/>
  <sheetViews>
    <sheetView showGridLines="0" showRowColHeaders="0" tabSelected="1" workbookViewId="0">
      <selection activeCell="C3" sqref="C3:I3"/>
    </sheetView>
  </sheetViews>
  <sheetFormatPr baseColWidth="10" defaultRowHeight="12.75" x14ac:dyDescent="0.2"/>
  <cols>
    <col min="1" max="1" width="4.85546875" customWidth="1"/>
    <col min="2" max="2" width="3.7109375" customWidth="1"/>
    <col min="3" max="3" width="17.42578125" customWidth="1"/>
    <col min="9" max="9" width="23" customWidth="1"/>
    <col min="10" max="10" width="2.7109375" customWidth="1"/>
  </cols>
  <sheetData>
    <row r="1" spans="2:10" ht="52.5" customHeight="1" thickBot="1" x14ac:dyDescent="0.25">
      <c r="B1" s="69"/>
      <c r="C1" s="69"/>
      <c r="D1" s="69"/>
      <c r="E1" s="69"/>
      <c r="F1" s="69"/>
      <c r="G1" s="69"/>
      <c r="H1" s="69"/>
      <c r="I1" s="69"/>
      <c r="J1" s="69"/>
    </row>
    <row r="2" spans="2:10" ht="8.25" customHeight="1" thickTop="1" x14ac:dyDescent="0.2">
      <c r="B2" s="24"/>
      <c r="C2" s="25"/>
      <c r="D2" s="25"/>
      <c r="E2" s="25"/>
      <c r="F2" s="25"/>
      <c r="G2" s="25"/>
      <c r="H2" s="25"/>
      <c r="I2" s="25"/>
      <c r="J2" s="26"/>
    </row>
    <row r="3" spans="2:10" ht="32.25" customHeight="1" x14ac:dyDescent="0.2">
      <c r="B3" s="27"/>
      <c r="C3" s="99" t="s">
        <v>3071</v>
      </c>
      <c r="D3" s="99"/>
      <c r="E3" s="99"/>
      <c r="F3" s="99"/>
      <c r="G3" s="99"/>
      <c r="H3" s="99"/>
      <c r="I3" s="99"/>
      <c r="J3" s="28"/>
    </row>
    <row r="4" spans="2:10" ht="6.75" customHeight="1" x14ac:dyDescent="0.2">
      <c r="B4" s="27"/>
      <c r="J4" s="28"/>
    </row>
    <row r="5" spans="2:10" ht="77.25" customHeight="1" x14ac:dyDescent="0.2">
      <c r="B5" s="27"/>
      <c r="C5" s="100" t="s">
        <v>3072</v>
      </c>
      <c r="D5" s="100"/>
      <c r="E5" s="100"/>
      <c r="F5" s="100"/>
      <c r="G5" s="100"/>
      <c r="H5" s="100"/>
      <c r="I5" s="100"/>
      <c r="J5" s="28"/>
    </row>
    <row r="6" spans="2:10" ht="33" customHeight="1" x14ac:dyDescent="0.2">
      <c r="B6" s="27"/>
      <c r="C6" s="100" t="s">
        <v>3074</v>
      </c>
      <c r="D6" s="100"/>
      <c r="E6" s="100"/>
      <c r="F6" s="100"/>
      <c r="G6" s="100"/>
      <c r="H6" s="100"/>
      <c r="I6" s="100"/>
      <c r="J6" s="28"/>
    </row>
    <row r="7" spans="2:10" x14ac:dyDescent="0.2">
      <c r="B7" s="27"/>
      <c r="C7" s="100" t="s">
        <v>3070</v>
      </c>
      <c r="D7" s="100"/>
      <c r="E7" s="100"/>
      <c r="F7" s="100"/>
      <c r="G7" s="100"/>
      <c r="H7" s="100"/>
      <c r="I7" s="100"/>
      <c r="J7" s="28"/>
    </row>
    <row r="8" spans="2:10" x14ac:dyDescent="0.2">
      <c r="B8" s="27"/>
      <c r="C8" s="100"/>
      <c r="D8" s="100"/>
      <c r="E8" s="100"/>
      <c r="F8" s="100"/>
      <c r="G8" s="100"/>
      <c r="H8" s="100"/>
      <c r="I8" s="100"/>
      <c r="J8" s="28"/>
    </row>
    <row r="9" spans="2:10" x14ac:dyDescent="0.2">
      <c r="B9" s="27"/>
      <c r="C9" s="100"/>
      <c r="D9" s="100"/>
      <c r="E9" s="100"/>
      <c r="F9" s="100"/>
      <c r="G9" s="100"/>
      <c r="H9" s="100"/>
      <c r="I9" s="100"/>
      <c r="J9" s="28"/>
    </row>
    <row r="10" spans="2:10" x14ac:dyDescent="0.2">
      <c r="B10" s="27"/>
      <c r="C10" s="100"/>
      <c r="D10" s="100"/>
      <c r="E10" s="100"/>
      <c r="F10" s="100"/>
      <c r="G10" s="100"/>
      <c r="H10" s="100"/>
      <c r="I10" s="100"/>
      <c r="J10" s="28"/>
    </row>
    <row r="11" spans="2:10" x14ac:dyDescent="0.2">
      <c r="B11" s="27"/>
      <c r="C11" s="100"/>
      <c r="D11" s="100"/>
      <c r="E11" s="100"/>
      <c r="F11" s="100"/>
      <c r="G11" s="100"/>
      <c r="H11" s="100"/>
      <c r="I11" s="100"/>
      <c r="J11" s="28"/>
    </row>
    <row r="12" spans="2:10" x14ac:dyDescent="0.2">
      <c r="B12" s="27"/>
      <c r="C12" s="100"/>
      <c r="D12" s="100"/>
      <c r="E12" s="100"/>
      <c r="F12" s="100"/>
      <c r="G12" s="100"/>
      <c r="H12" s="100"/>
      <c r="I12" s="100"/>
      <c r="J12" s="28"/>
    </row>
    <row r="13" spans="2:10" x14ac:dyDescent="0.2">
      <c r="B13" s="27"/>
      <c r="C13" s="100"/>
      <c r="D13" s="100"/>
      <c r="E13" s="100"/>
      <c r="F13" s="100"/>
      <c r="G13" s="100"/>
      <c r="H13" s="100"/>
      <c r="I13" s="100"/>
      <c r="J13" s="28"/>
    </row>
    <row r="14" spans="2:10" x14ac:dyDescent="0.2">
      <c r="B14" s="27"/>
      <c r="C14" s="100"/>
      <c r="D14" s="100"/>
      <c r="E14" s="100"/>
      <c r="F14" s="100"/>
      <c r="G14" s="100"/>
      <c r="H14" s="100"/>
      <c r="I14" s="100"/>
      <c r="J14" s="28"/>
    </row>
    <row r="15" spans="2:10" ht="28.5" customHeight="1" x14ac:dyDescent="0.2">
      <c r="B15" s="27"/>
      <c r="C15" s="100" t="s">
        <v>1772</v>
      </c>
      <c r="D15" s="100"/>
      <c r="E15" s="100"/>
      <c r="F15" s="100"/>
      <c r="G15" s="100"/>
      <c r="H15" s="100"/>
      <c r="I15" s="100"/>
      <c r="J15" s="28"/>
    </row>
    <row r="16" spans="2:10" ht="15.75" customHeight="1" x14ac:dyDescent="0.2">
      <c r="B16" s="27"/>
      <c r="C16" s="98" t="s">
        <v>1773</v>
      </c>
      <c r="D16" s="98"/>
      <c r="E16" s="98"/>
      <c r="F16" s="98"/>
      <c r="G16" s="98"/>
      <c r="H16" s="98"/>
      <c r="I16" s="98"/>
      <c r="J16" s="28"/>
    </row>
    <row r="17" spans="2:10" ht="13.5" thickBot="1" x14ac:dyDescent="0.25">
      <c r="B17" s="29"/>
      <c r="C17" s="30"/>
      <c r="D17" s="30"/>
      <c r="E17" s="30"/>
      <c r="F17" s="30"/>
      <c r="G17" s="30"/>
      <c r="H17" s="30"/>
      <c r="I17" s="30"/>
      <c r="J17" s="31"/>
    </row>
    <row r="18" spans="2:10" ht="13.5" thickTop="1" x14ac:dyDescent="0.2"/>
  </sheetData>
  <sheetProtection algorithmName="SHA-512" hashValue="C9xo63T6hJxASNI2o4PgWaL3bwKbCWqQyzJTOac7Z2vUtX7x7f/DvzqBmBqBwBqXFRap9bv6G/WEFQZQZC2UQw==" saltValue="0HoqryBKujvYKAHEdUeSGA==" spinCount="100000" sheet="1"/>
  <mergeCells count="6">
    <mergeCell ref="C16:I16"/>
    <mergeCell ref="C3:I3"/>
    <mergeCell ref="C5:I5"/>
    <mergeCell ref="C6:I6"/>
    <mergeCell ref="C7:I14"/>
    <mergeCell ref="C15:I15"/>
  </mergeCells>
  <hyperlinks>
    <hyperlink ref="C16:I16" r:id="rId1" display="Boîte à outils pour les PGMR" xr:uid="{00000000-0004-0000-0000-000000000000}"/>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47750-0D9A-4DCC-B1C2-4BF26A18F490}">
  <dimension ref="A1:X1029"/>
  <sheetViews>
    <sheetView zoomScale="70" zoomScaleNormal="70" workbookViewId="0">
      <pane xSplit="1" ySplit="2" topLeftCell="B3" activePane="bottomRight" state="frozen"/>
      <selection pane="topRight" activeCell="B1" sqref="B1"/>
      <selection pane="bottomLeft" activeCell="A3" sqref="A3"/>
      <selection pane="bottomRight" activeCell="A2" sqref="A2"/>
    </sheetView>
  </sheetViews>
  <sheetFormatPr baseColWidth="10" defaultRowHeight="12.75" x14ac:dyDescent="0.2"/>
  <cols>
    <col min="1" max="1" width="47.28515625" style="1" customWidth="1"/>
    <col min="2" max="2" width="27.7109375" style="2" customWidth="1"/>
    <col min="3" max="3" width="19.28515625" style="2" customWidth="1"/>
    <col min="4" max="4" width="23.42578125" style="2" customWidth="1"/>
    <col min="5" max="6" width="11.5703125" style="2" customWidth="1"/>
    <col min="7" max="7" width="22.85546875" style="2" customWidth="1"/>
    <col min="8" max="8" width="26.7109375" style="2" customWidth="1"/>
    <col min="9" max="9" width="46.85546875" style="1" customWidth="1"/>
    <col min="10" max="10" width="85.42578125" style="1" customWidth="1"/>
    <col min="11" max="11" width="2.5703125" style="17" customWidth="1"/>
    <col min="12" max="12" width="25.5703125" style="58" customWidth="1"/>
    <col min="13" max="13" width="19.28515625" style="59" customWidth="1"/>
    <col min="14" max="14" width="20.5703125" style="59" customWidth="1"/>
    <col min="15" max="16" width="19.28515625" style="59" customWidth="1"/>
    <col min="17" max="17" width="16.140625" style="59" customWidth="1"/>
    <col min="18" max="21" width="17.7109375" style="59" customWidth="1"/>
    <col min="22" max="22" width="19" style="59" customWidth="1"/>
    <col min="23" max="23" width="63.5703125" style="93" customWidth="1"/>
    <col min="24" max="24" width="13.28515625" customWidth="1"/>
  </cols>
  <sheetData>
    <row r="1" spans="1:24" ht="35.25" customHeight="1" x14ac:dyDescent="0.2">
      <c r="A1" s="76" t="s">
        <v>3073</v>
      </c>
      <c r="B1" s="76"/>
      <c r="C1" s="76"/>
      <c r="D1" s="76"/>
      <c r="E1" s="76"/>
      <c r="F1" s="76"/>
      <c r="G1" s="76"/>
      <c r="H1" s="76"/>
      <c r="I1" s="76"/>
      <c r="J1" s="76"/>
      <c r="K1" s="16"/>
      <c r="L1" s="86"/>
      <c r="M1" s="86" t="s">
        <v>1744</v>
      </c>
      <c r="N1" s="86"/>
      <c r="O1" s="86"/>
      <c r="P1" s="86"/>
      <c r="Q1" s="86"/>
      <c r="R1" s="86"/>
      <c r="S1" s="86"/>
      <c r="T1" s="86"/>
      <c r="U1" s="86"/>
      <c r="V1" s="86"/>
      <c r="W1" s="87"/>
    </row>
    <row r="2" spans="1:24" s="2" customFormat="1" ht="78" customHeight="1" x14ac:dyDescent="0.2">
      <c r="A2" s="88" t="s">
        <v>3076</v>
      </c>
      <c r="B2" s="89" t="s">
        <v>0</v>
      </c>
      <c r="C2" s="89" t="s">
        <v>1</v>
      </c>
      <c r="D2" s="89" t="s">
        <v>2</v>
      </c>
      <c r="E2" s="89" t="s">
        <v>3</v>
      </c>
      <c r="F2" s="89" t="s">
        <v>4</v>
      </c>
      <c r="G2" s="89" t="s">
        <v>5</v>
      </c>
      <c r="H2" s="89" t="s">
        <v>6</v>
      </c>
      <c r="I2" s="89" t="s">
        <v>7</v>
      </c>
      <c r="J2" s="89" t="s">
        <v>8</v>
      </c>
      <c r="K2" s="21" t="s">
        <v>1774</v>
      </c>
      <c r="L2" s="90" t="s">
        <v>1672</v>
      </c>
      <c r="M2" s="90" t="s">
        <v>1673</v>
      </c>
      <c r="N2" s="90" t="s">
        <v>1775</v>
      </c>
      <c r="O2" s="90" t="s">
        <v>1671</v>
      </c>
      <c r="P2" s="90" t="s">
        <v>1674</v>
      </c>
      <c r="Q2" s="90" t="s">
        <v>1675</v>
      </c>
      <c r="R2" s="90" t="s">
        <v>1704</v>
      </c>
      <c r="S2" s="90" t="s">
        <v>1676</v>
      </c>
      <c r="T2" s="90" t="s">
        <v>1677</v>
      </c>
      <c r="U2" s="90" t="s">
        <v>4342</v>
      </c>
      <c r="V2" s="90" t="s">
        <v>4343</v>
      </c>
      <c r="W2" s="91" t="s">
        <v>1678</v>
      </c>
    </row>
    <row r="3" spans="1:24" s="79" customFormat="1" ht="73.5" customHeight="1" x14ac:dyDescent="0.2">
      <c r="A3" s="1" t="s">
        <v>149</v>
      </c>
      <c r="B3" s="2" t="s">
        <v>16</v>
      </c>
      <c r="C3" s="2" t="s">
        <v>150</v>
      </c>
      <c r="D3" s="2" t="s">
        <v>129</v>
      </c>
      <c r="E3" s="2">
        <v>2023</v>
      </c>
      <c r="F3" s="2" t="s">
        <v>13</v>
      </c>
      <c r="G3" s="2" t="s">
        <v>3095</v>
      </c>
      <c r="H3" s="2" t="s">
        <v>3092</v>
      </c>
      <c r="I3" s="1" t="s">
        <v>14</v>
      </c>
      <c r="J3" s="1" t="s">
        <v>4344</v>
      </c>
      <c r="K3" s="17"/>
      <c r="L3" s="54">
        <v>0.33100000000000002</v>
      </c>
      <c r="M3" s="39">
        <f>101.8/2</f>
        <v>50.9</v>
      </c>
      <c r="N3" s="39"/>
      <c r="O3" s="39">
        <f>101.8/2</f>
        <v>50.9</v>
      </c>
      <c r="P3" s="39"/>
      <c r="Q3" s="39"/>
      <c r="R3" s="39"/>
      <c r="S3" s="39"/>
      <c r="T3" s="39"/>
      <c r="U3" s="39"/>
      <c r="V3" s="39"/>
      <c r="W3" s="92" t="s">
        <v>1721</v>
      </c>
    </row>
    <row r="4" spans="1:24" s="79" customFormat="1" ht="38.25" x14ac:dyDescent="0.2">
      <c r="A4" s="1" t="s">
        <v>149</v>
      </c>
      <c r="B4" s="2" t="s">
        <v>16</v>
      </c>
      <c r="C4" s="2" t="s">
        <v>150</v>
      </c>
      <c r="D4" s="2" t="s">
        <v>129</v>
      </c>
      <c r="E4" s="2">
        <v>2023</v>
      </c>
      <c r="F4" s="2" t="s">
        <v>188</v>
      </c>
      <c r="G4" s="2" t="s">
        <v>3095</v>
      </c>
      <c r="H4" s="2" t="s">
        <v>3092</v>
      </c>
      <c r="I4" s="1" t="s">
        <v>14</v>
      </c>
      <c r="J4" s="1" t="s">
        <v>4345</v>
      </c>
      <c r="K4" s="17"/>
      <c r="L4" s="54">
        <v>0.311</v>
      </c>
      <c r="M4" s="39">
        <f>109.8/2</f>
        <v>54.9</v>
      </c>
      <c r="N4" s="39"/>
      <c r="O4" s="39">
        <f>109.8/2</f>
        <v>54.9</v>
      </c>
      <c r="P4" s="39"/>
      <c r="Q4" s="39"/>
      <c r="R4" s="39"/>
      <c r="S4" s="39"/>
      <c r="T4" s="39"/>
      <c r="U4" s="39"/>
      <c r="V4" s="39"/>
      <c r="W4" s="92" t="s">
        <v>1721</v>
      </c>
    </row>
    <row r="5" spans="1:24" s="79" customFormat="1" ht="38.25" x14ac:dyDescent="0.2">
      <c r="A5" s="1" t="s">
        <v>149</v>
      </c>
      <c r="B5" s="2" t="s">
        <v>16</v>
      </c>
      <c r="C5" s="2" t="s">
        <v>150</v>
      </c>
      <c r="D5" s="2" t="s">
        <v>129</v>
      </c>
      <c r="E5" s="2">
        <v>2023</v>
      </c>
      <c r="F5" s="2" t="s">
        <v>203</v>
      </c>
      <c r="G5" s="2" t="s">
        <v>3095</v>
      </c>
      <c r="H5" s="2" t="s">
        <v>3092</v>
      </c>
      <c r="I5" s="1" t="s">
        <v>14</v>
      </c>
      <c r="J5" s="1" t="s">
        <v>4346</v>
      </c>
      <c r="K5" s="17"/>
      <c r="L5" s="54">
        <v>0.32900000000000001</v>
      </c>
      <c r="M5" s="39">
        <f>114.01/2</f>
        <v>57.005000000000003</v>
      </c>
      <c r="N5" s="39"/>
      <c r="O5" s="39">
        <f>114.01/2</f>
        <v>57.005000000000003</v>
      </c>
      <c r="P5" s="39"/>
      <c r="Q5" s="39"/>
      <c r="R5" s="39"/>
      <c r="S5" s="39"/>
      <c r="T5" s="39"/>
      <c r="U5" s="39"/>
      <c r="V5" s="39"/>
      <c r="W5" s="92" t="s">
        <v>1721</v>
      </c>
    </row>
    <row r="6" spans="1:24" s="79" customFormat="1" ht="38.25" x14ac:dyDescent="0.2">
      <c r="A6" s="1" t="s">
        <v>149</v>
      </c>
      <c r="B6" s="2" t="s">
        <v>16</v>
      </c>
      <c r="C6" s="2" t="s">
        <v>150</v>
      </c>
      <c r="D6" s="2" t="s">
        <v>129</v>
      </c>
      <c r="E6" s="2">
        <v>2023</v>
      </c>
      <c r="F6" s="2" t="s">
        <v>211</v>
      </c>
      <c r="G6" s="2" t="s">
        <v>3095</v>
      </c>
      <c r="H6" s="2" t="s">
        <v>3092</v>
      </c>
      <c r="I6" s="1" t="s">
        <v>14</v>
      </c>
      <c r="J6" s="1" t="s">
        <v>4347</v>
      </c>
      <c r="K6" s="17"/>
      <c r="L6" s="54">
        <v>0.34899999999999998</v>
      </c>
      <c r="M6" s="39">
        <f>103.23/2</f>
        <v>51.615000000000002</v>
      </c>
      <c r="N6" s="39"/>
      <c r="O6" s="39">
        <f>103.23/2</f>
        <v>51.615000000000002</v>
      </c>
      <c r="P6" s="39"/>
      <c r="Q6" s="39"/>
      <c r="R6" s="39"/>
      <c r="S6" s="39"/>
      <c r="T6" s="39"/>
      <c r="U6" s="39"/>
      <c r="V6" s="39"/>
      <c r="W6" s="92" t="s">
        <v>1721</v>
      </c>
    </row>
    <row r="7" spans="1:24" s="79" customFormat="1" ht="38.25" x14ac:dyDescent="0.2">
      <c r="A7" s="1" t="s">
        <v>149</v>
      </c>
      <c r="B7" s="2" t="s">
        <v>16</v>
      </c>
      <c r="C7" s="2" t="s">
        <v>150</v>
      </c>
      <c r="D7" s="2" t="s">
        <v>129</v>
      </c>
      <c r="E7" s="2">
        <v>2023</v>
      </c>
      <c r="F7" s="2" t="s">
        <v>221</v>
      </c>
      <c r="G7" s="2" t="s">
        <v>3095</v>
      </c>
      <c r="H7" s="2" t="s">
        <v>3092</v>
      </c>
      <c r="I7" s="1" t="s">
        <v>14</v>
      </c>
      <c r="J7" s="1" t="s">
        <v>4348</v>
      </c>
      <c r="K7" s="17"/>
      <c r="L7" s="54">
        <v>0.32100000000000001</v>
      </c>
      <c r="M7" s="39">
        <f>129.24/2</f>
        <v>64.62</v>
      </c>
      <c r="N7" s="39"/>
      <c r="O7" s="39">
        <f>129.24/2</f>
        <v>64.62</v>
      </c>
      <c r="P7" s="39"/>
      <c r="Q7" s="39"/>
      <c r="R7" s="39"/>
      <c r="S7" s="39"/>
      <c r="T7" s="39"/>
      <c r="U7" s="39"/>
      <c r="V7" s="39"/>
      <c r="W7" s="92" t="s">
        <v>1721</v>
      </c>
    </row>
    <row r="8" spans="1:24" s="79" customFormat="1" ht="38.25" x14ac:dyDescent="0.2">
      <c r="A8" s="1" t="s">
        <v>149</v>
      </c>
      <c r="B8" s="2" t="s">
        <v>16</v>
      </c>
      <c r="C8" s="2" t="s">
        <v>150</v>
      </c>
      <c r="D8" s="2" t="s">
        <v>129</v>
      </c>
      <c r="E8" s="2">
        <v>2023</v>
      </c>
      <c r="F8" s="2" t="s">
        <v>256</v>
      </c>
      <c r="G8" s="2" t="s">
        <v>3095</v>
      </c>
      <c r="H8" s="2" t="s">
        <v>3092</v>
      </c>
      <c r="I8" s="1" t="s">
        <v>14</v>
      </c>
      <c r="J8" s="1" t="s">
        <v>4349</v>
      </c>
      <c r="K8" s="17"/>
      <c r="L8" s="54">
        <v>0.33800000000000002</v>
      </c>
      <c r="M8" s="39">
        <f>113.98/2</f>
        <v>56.99</v>
      </c>
      <c r="N8" s="39"/>
      <c r="O8" s="39">
        <f>113.98/2</f>
        <v>56.99</v>
      </c>
      <c r="P8" s="39"/>
      <c r="Q8" s="39"/>
      <c r="R8" s="39"/>
      <c r="S8" s="39"/>
      <c r="T8" s="39"/>
      <c r="U8" s="39"/>
      <c r="V8" s="39"/>
      <c r="W8" s="92" t="s">
        <v>1721</v>
      </c>
    </row>
    <row r="9" spans="1:24" s="79" customFormat="1" ht="38.25" x14ac:dyDescent="0.2">
      <c r="A9" s="1" t="s">
        <v>149</v>
      </c>
      <c r="B9" s="2" t="s">
        <v>16</v>
      </c>
      <c r="C9" s="2" t="s">
        <v>150</v>
      </c>
      <c r="D9" s="2" t="s">
        <v>129</v>
      </c>
      <c r="E9" s="2">
        <v>2023</v>
      </c>
      <c r="F9" s="2" t="s">
        <v>276</v>
      </c>
      <c r="G9" s="2" t="s">
        <v>3095</v>
      </c>
      <c r="H9" s="2" t="s">
        <v>3092</v>
      </c>
      <c r="I9" s="1" t="s">
        <v>14</v>
      </c>
      <c r="J9" s="1" t="s">
        <v>4350</v>
      </c>
      <c r="K9" s="17"/>
      <c r="L9" s="54">
        <v>0.32500000000000001</v>
      </c>
      <c r="M9" s="39">
        <f>108.9/2</f>
        <v>54.45</v>
      </c>
      <c r="N9" s="39"/>
      <c r="O9" s="39">
        <f>108.9/2</f>
        <v>54.45</v>
      </c>
      <c r="P9" s="39"/>
      <c r="Q9" s="39"/>
      <c r="R9" s="39"/>
      <c r="S9" s="39"/>
      <c r="T9" s="39"/>
      <c r="U9" s="39"/>
      <c r="V9" s="39"/>
      <c r="W9" s="92" t="s">
        <v>1721</v>
      </c>
    </row>
    <row r="10" spans="1:24" s="79" customFormat="1" ht="38.25" x14ac:dyDescent="0.2">
      <c r="A10" s="1" t="s">
        <v>149</v>
      </c>
      <c r="B10" s="2" t="s">
        <v>16</v>
      </c>
      <c r="C10" s="2" t="s">
        <v>150</v>
      </c>
      <c r="D10" s="2" t="s">
        <v>129</v>
      </c>
      <c r="E10" s="2">
        <v>2023</v>
      </c>
      <c r="F10" s="2" t="s">
        <v>291</v>
      </c>
      <c r="G10" s="2" t="s">
        <v>3095</v>
      </c>
      <c r="H10" s="2" t="s">
        <v>3092</v>
      </c>
      <c r="I10" s="1" t="s">
        <v>14</v>
      </c>
      <c r="J10" s="1" t="s">
        <v>4351</v>
      </c>
      <c r="K10" s="17"/>
      <c r="L10" s="54">
        <v>0.32700000000000001</v>
      </c>
      <c r="M10" s="39">
        <f>129.28/2</f>
        <v>64.64</v>
      </c>
      <c r="N10" s="39"/>
      <c r="O10" s="39">
        <f>129.28/2</f>
        <v>64.64</v>
      </c>
      <c r="P10" s="39"/>
      <c r="Q10" s="39"/>
      <c r="R10" s="39"/>
      <c r="S10" s="39"/>
      <c r="T10" s="39"/>
      <c r="U10" s="39"/>
      <c r="V10" s="39"/>
      <c r="W10" s="92" t="s">
        <v>1721</v>
      </c>
    </row>
    <row r="11" spans="1:24" s="79" customFormat="1" ht="38.25" x14ac:dyDescent="0.2">
      <c r="A11" s="1" t="s">
        <v>149</v>
      </c>
      <c r="B11" s="2" t="s">
        <v>16</v>
      </c>
      <c r="C11" s="2" t="s">
        <v>150</v>
      </c>
      <c r="D11" s="2" t="s">
        <v>129</v>
      </c>
      <c r="E11" s="2">
        <v>2023</v>
      </c>
      <c r="F11" s="2" t="s">
        <v>311</v>
      </c>
      <c r="G11" s="2" t="s">
        <v>3095</v>
      </c>
      <c r="H11" s="2" t="s">
        <v>3092</v>
      </c>
      <c r="I11" s="1" t="s">
        <v>14</v>
      </c>
      <c r="J11" s="1" t="s">
        <v>4352</v>
      </c>
      <c r="K11" s="17"/>
      <c r="L11" s="54">
        <v>0.312</v>
      </c>
      <c r="M11" s="39">
        <f>105.84/2</f>
        <v>52.92</v>
      </c>
      <c r="N11" s="39"/>
      <c r="O11" s="39">
        <f>105.84/2</f>
        <v>52.92</v>
      </c>
      <c r="P11" s="39"/>
      <c r="Q11" s="39"/>
      <c r="R11" s="39"/>
      <c r="S11" s="39"/>
      <c r="T11" s="39"/>
      <c r="U11" s="39"/>
      <c r="V11" s="39"/>
      <c r="W11" s="92" t="s">
        <v>1721</v>
      </c>
    </row>
    <row r="12" spans="1:24" s="79" customFormat="1" ht="38.25" x14ac:dyDescent="0.2">
      <c r="A12" s="1" t="s">
        <v>149</v>
      </c>
      <c r="B12" s="2" t="s">
        <v>16</v>
      </c>
      <c r="C12" s="2" t="s">
        <v>150</v>
      </c>
      <c r="D12" s="2" t="s">
        <v>129</v>
      </c>
      <c r="E12" s="2">
        <v>2023</v>
      </c>
      <c r="F12" s="2" t="s">
        <v>337</v>
      </c>
      <c r="G12" s="2" t="s">
        <v>3095</v>
      </c>
      <c r="H12" s="2" t="s">
        <v>3092</v>
      </c>
      <c r="I12" s="1" t="s">
        <v>14</v>
      </c>
      <c r="J12" s="1" t="s">
        <v>4353</v>
      </c>
      <c r="K12" s="17"/>
      <c r="L12" s="54">
        <v>0.32200000000000001</v>
      </c>
      <c r="M12" s="39">
        <f>128/2</f>
        <v>64</v>
      </c>
      <c r="N12" s="39"/>
      <c r="O12" s="39">
        <f>128/2</f>
        <v>64</v>
      </c>
      <c r="P12" s="39"/>
      <c r="Q12" s="39"/>
      <c r="R12" s="39"/>
      <c r="S12" s="39"/>
      <c r="T12" s="39"/>
      <c r="U12" s="39"/>
      <c r="V12" s="39"/>
      <c r="W12" s="92" t="s">
        <v>1721</v>
      </c>
    </row>
    <row r="13" spans="1:24" s="79" customFormat="1" ht="38.25" x14ac:dyDescent="0.2">
      <c r="A13" s="1" t="s">
        <v>149</v>
      </c>
      <c r="B13" s="2" t="s">
        <v>16</v>
      </c>
      <c r="C13" s="2" t="s">
        <v>150</v>
      </c>
      <c r="D13" s="2" t="s">
        <v>129</v>
      </c>
      <c r="E13" s="2">
        <v>2023</v>
      </c>
      <c r="F13" s="2" t="s">
        <v>364</v>
      </c>
      <c r="G13" s="2" t="s">
        <v>3095</v>
      </c>
      <c r="H13" s="2" t="s">
        <v>3092</v>
      </c>
      <c r="I13" s="1" t="s">
        <v>14</v>
      </c>
      <c r="J13" s="1" t="s">
        <v>4354</v>
      </c>
      <c r="K13" s="17"/>
      <c r="L13" s="54">
        <v>0.32100000000000001</v>
      </c>
      <c r="M13" s="39">
        <f>108.54/2</f>
        <v>54.27</v>
      </c>
      <c r="N13" s="39"/>
      <c r="O13" s="39">
        <f>108.54/2</f>
        <v>54.27</v>
      </c>
      <c r="P13" s="39"/>
      <c r="Q13" s="39"/>
      <c r="R13" s="39"/>
      <c r="S13" s="39"/>
      <c r="T13" s="39"/>
      <c r="U13" s="39"/>
      <c r="V13" s="39"/>
      <c r="W13" s="92" t="s">
        <v>1721</v>
      </c>
    </row>
    <row r="14" spans="1:24" s="79" customFormat="1" ht="38.25" x14ac:dyDescent="0.2">
      <c r="A14" s="1" t="s">
        <v>149</v>
      </c>
      <c r="B14" s="2" t="s">
        <v>16</v>
      </c>
      <c r="C14" s="2" t="s">
        <v>150</v>
      </c>
      <c r="D14" s="2" t="s">
        <v>129</v>
      </c>
      <c r="E14" s="2">
        <v>2023</v>
      </c>
      <c r="F14" s="2" t="s">
        <v>388</v>
      </c>
      <c r="G14" s="2" t="s">
        <v>3095</v>
      </c>
      <c r="H14" s="2" t="s">
        <v>3092</v>
      </c>
      <c r="I14" s="1" t="s">
        <v>14</v>
      </c>
      <c r="J14" s="1" t="s">
        <v>4355</v>
      </c>
      <c r="K14" s="17"/>
      <c r="L14" s="58">
        <v>0.33600000000000002</v>
      </c>
      <c r="M14" s="59">
        <f>96.74/2</f>
        <v>48.37</v>
      </c>
      <c r="N14" s="59"/>
      <c r="O14" s="59">
        <f>96.74/2</f>
        <v>48.37</v>
      </c>
      <c r="P14" s="59"/>
      <c r="Q14" s="59"/>
      <c r="R14" s="59"/>
      <c r="S14" s="59"/>
      <c r="T14" s="59"/>
      <c r="U14" s="59"/>
      <c r="V14" s="59"/>
      <c r="W14" s="92" t="s">
        <v>1721</v>
      </c>
      <c r="X14"/>
    </row>
    <row r="15" spans="1:24" s="79" customFormat="1" ht="25.5" x14ac:dyDescent="0.2">
      <c r="A15" s="1" t="s">
        <v>44</v>
      </c>
      <c r="B15" s="2" t="s">
        <v>16</v>
      </c>
      <c r="C15" s="2" t="s">
        <v>45</v>
      </c>
      <c r="D15" s="2" t="s">
        <v>46</v>
      </c>
      <c r="E15" s="2">
        <v>2023</v>
      </c>
      <c r="F15" s="2" t="s">
        <v>13</v>
      </c>
      <c r="G15" s="2" t="s">
        <v>3095</v>
      </c>
      <c r="H15" s="2" t="s">
        <v>3092</v>
      </c>
      <c r="I15" s="1" t="s">
        <v>14</v>
      </c>
      <c r="J15" s="1" t="s">
        <v>4356</v>
      </c>
      <c r="K15" s="17"/>
      <c r="L15" s="54">
        <v>0.23</v>
      </c>
      <c r="M15" s="15"/>
      <c r="N15" s="15"/>
      <c r="O15" s="15">
        <v>233.7</v>
      </c>
      <c r="P15" s="15"/>
      <c r="Q15" s="15"/>
      <c r="R15" s="15"/>
      <c r="S15" s="15"/>
      <c r="T15" s="15"/>
      <c r="U15" s="15"/>
      <c r="V15" s="15"/>
      <c r="W15" s="92" t="s">
        <v>1710</v>
      </c>
    </row>
    <row r="16" spans="1:24" s="79" customFormat="1" ht="51" x14ac:dyDescent="0.2">
      <c r="A16" s="1" t="s">
        <v>44</v>
      </c>
      <c r="B16" s="2" t="s">
        <v>16</v>
      </c>
      <c r="C16" s="2" t="s">
        <v>45</v>
      </c>
      <c r="D16" s="2" t="s">
        <v>46</v>
      </c>
      <c r="E16" s="2">
        <v>2023</v>
      </c>
      <c r="F16" s="2" t="s">
        <v>188</v>
      </c>
      <c r="G16" s="2" t="s">
        <v>3095</v>
      </c>
      <c r="H16" s="2" t="s">
        <v>3092</v>
      </c>
      <c r="I16" s="1" t="s">
        <v>14</v>
      </c>
      <c r="J16" s="1" t="s">
        <v>4357</v>
      </c>
      <c r="K16" s="17"/>
      <c r="L16" s="54">
        <v>0.26100000000000001</v>
      </c>
      <c r="M16" s="39"/>
      <c r="N16" s="39"/>
      <c r="O16" s="39">
        <v>254.8</v>
      </c>
      <c r="P16" s="39"/>
      <c r="Q16" s="39"/>
      <c r="R16" s="39"/>
      <c r="S16" s="39"/>
      <c r="T16" s="39"/>
      <c r="U16" s="39"/>
      <c r="V16" s="39"/>
      <c r="W16" s="92" t="s">
        <v>1710</v>
      </c>
    </row>
    <row r="17" spans="1:24" s="79" customFormat="1" ht="51" x14ac:dyDescent="0.2">
      <c r="A17" s="1" t="s">
        <v>44</v>
      </c>
      <c r="B17" s="2" t="s">
        <v>16</v>
      </c>
      <c r="C17" s="2" t="s">
        <v>45</v>
      </c>
      <c r="D17" s="2" t="s">
        <v>46</v>
      </c>
      <c r="E17" s="2">
        <v>2023</v>
      </c>
      <c r="F17" s="2" t="s">
        <v>203</v>
      </c>
      <c r="G17" s="2" t="s">
        <v>3095</v>
      </c>
      <c r="H17" s="2" t="s">
        <v>3092</v>
      </c>
      <c r="I17" s="1" t="s">
        <v>14</v>
      </c>
      <c r="J17" s="1" t="s">
        <v>4358</v>
      </c>
      <c r="K17" s="17"/>
      <c r="L17" s="54">
        <v>0.251</v>
      </c>
      <c r="M17" s="39"/>
      <c r="N17" s="39"/>
      <c r="O17" s="39">
        <v>356.9</v>
      </c>
      <c r="P17" s="39"/>
      <c r="Q17" s="39"/>
      <c r="R17" s="39"/>
      <c r="S17" s="39"/>
      <c r="T17" s="39"/>
      <c r="U17" s="39"/>
      <c r="V17" s="39"/>
      <c r="W17" s="92" t="s">
        <v>1710</v>
      </c>
    </row>
    <row r="18" spans="1:24" s="79" customFormat="1" ht="25.5" x14ac:dyDescent="0.2">
      <c r="A18" s="1" t="s">
        <v>44</v>
      </c>
      <c r="B18" s="2" t="s">
        <v>16</v>
      </c>
      <c r="C18" s="2" t="s">
        <v>45</v>
      </c>
      <c r="D18" s="2" t="s">
        <v>46</v>
      </c>
      <c r="E18" s="2">
        <v>2023</v>
      </c>
      <c r="F18" s="2" t="s">
        <v>211</v>
      </c>
      <c r="G18" s="2" t="s">
        <v>3095</v>
      </c>
      <c r="H18" s="2" t="s">
        <v>3092</v>
      </c>
      <c r="I18" s="1" t="s">
        <v>14</v>
      </c>
      <c r="J18" s="1" t="s">
        <v>4359</v>
      </c>
      <c r="K18" s="17"/>
      <c r="L18" s="75">
        <v>0.31</v>
      </c>
      <c r="M18" s="39"/>
      <c r="N18" s="39"/>
      <c r="O18" s="3">
        <v>427.49</v>
      </c>
      <c r="P18" s="39"/>
      <c r="Q18" s="39"/>
      <c r="R18" s="39"/>
      <c r="S18" s="39"/>
      <c r="T18" s="39"/>
      <c r="U18" s="39"/>
      <c r="V18" s="39"/>
      <c r="W18" s="92" t="s">
        <v>1710</v>
      </c>
    </row>
    <row r="19" spans="1:24" s="79" customFormat="1" ht="25.5" x14ac:dyDescent="0.2">
      <c r="A19" s="1" t="s">
        <v>44</v>
      </c>
      <c r="B19" s="2" t="s">
        <v>16</v>
      </c>
      <c r="C19" s="2" t="s">
        <v>45</v>
      </c>
      <c r="D19" s="2" t="s">
        <v>46</v>
      </c>
      <c r="E19" s="2">
        <v>2023</v>
      </c>
      <c r="F19" s="2" t="s">
        <v>221</v>
      </c>
      <c r="G19" s="2" t="s">
        <v>3095</v>
      </c>
      <c r="H19" s="2" t="s">
        <v>3092</v>
      </c>
      <c r="I19" s="1" t="s">
        <v>14</v>
      </c>
      <c r="J19" s="1" t="s">
        <v>4360</v>
      </c>
      <c r="K19" s="17"/>
      <c r="L19" s="54">
        <v>0.31</v>
      </c>
      <c r="M19" s="39"/>
      <c r="N19" s="39"/>
      <c r="O19" s="39">
        <v>721.79</v>
      </c>
      <c r="P19" s="39"/>
      <c r="Q19" s="39"/>
      <c r="R19" s="39"/>
      <c r="S19" s="39"/>
      <c r="T19" s="39"/>
      <c r="U19" s="39"/>
      <c r="V19" s="39"/>
      <c r="W19" s="92" t="s">
        <v>1710</v>
      </c>
    </row>
    <row r="20" spans="1:24" s="79" customFormat="1" ht="38.25" x14ac:dyDescent="0.2">
      <c r="A20" s="1" t="s">
        <v>44</v>
      </c>
      <c r="B20" s="2" t="s">
        <v>16</v>
      </c>
      <c r="C20" s="2" t="s">
        <v>45</v>
      </c>
      <c r="D20" s="2" t="s">
        <v>46</v>
      </c>
      <c r="E20" s="2">
        <v>2023</v>
      </c>
      <c r="F20" s="2" t="s">
        <v>256</v>
      </c>
      <c r="G20" s="2" t="s">
        <v>3095</v>
      </c>
      <c r="H20" s="2" t="s">
        <v>3092</v>
      </c>
      <c r="I20" s="1" t="s">
        <v>14</v>
      </c>
      <c r="J20" s="1" t="s">
        <v>4361</v>
      </c>
      <c r="K20" s="17"/>
      <c r="L20" s="54">
        <v>0.28000000000000003</v>
      </c>
      <c r="M20" s="39"/>
      <c r="N20" s="39"/>
      <c r="O20" s="39">
        <v>899.32</v>
      </c>
      <c r="P20" s="39"/>
      <c r="Q20" s="39"/>
      <c r="R20" s="39"/>
      <c r="S20" s="39"/>
      <c r="T20" s="39"/>
      <c r="U20" s="39"/>
      <c r="V20" s="39"/>
      <c r="W20" s="92" t="s">
        <v>1710</v>
      </c>
    </row>
    <row r="21" spans="1:24" s="79" customFormat="1" ht="25.5" x14ac:dyDescent="0.2">
      <c r="A21" s="1" t="s">
        <v>44</v>
      </c>
      <c r="B21" s="2" t="s">
        <v>16</v>
      </c>
      <c r="C21" s="2" t="s">
        <v>45</v>
      </c>
      <c r="D21" s="2" t="s">
        <v>46</v>
      </c>
      <c r="E21" s="2">
        <v>2023</v>
      </c>
      <c r="F21" s="2" t="s">
        <v>276</v>
      </c>
      <c r="G21" s="2" t="s">
        <v>3095</v>
      </c>
      <c r="H21" s="2" t="s">
        <v>3092</v>
      </c>
      <c r="I21" s="1" t="s">
        <v>14</v>
      </c>
      <c r="J21" s="1" t="s">
        <v>4362</v>
      </c>
      <c r="K21" s="17"/>
      <c r="L21" s="54">
        <v>0.31</v>
      </c>
      <c r="M21" s="39"/>
      <c r="N21" s="39"/>
      <c r="O21" s="39">
        <v>591.14</v>
      </c>
      <c r="P21" s="39"/>
      <c r="Q21" s="39"/>
      <c r="R21" s="39"/>
      <c r="S21" s="39"/>
      <c r="T21" s="14"/>
      <c r="U21" s="39"/>
      <c r="V21" s="39"/>
      <c r="W21" s="92" t="s">
        <v>1710</v>
      </c>
    </row>
    <row r="22" spans="1:24" s="79" customFormat="1" ht="25.5" x14ac:dyDescent="0.2">
      <c r="A22" s="1" t="s">
        <v>44</v>
      </c>
      <c r="B22" s="2" t="s">
        <v>16</v>
      </c>
      <c r="C22" s="2" t="s">
        <v>45</v>
      </c>
      <c r="D22" s="2" t="s">
        <v>46</v>
      </c>
      <c r="E22" s="2">
        <v>2023</v>
      </c>
      <c r="F22" s="2" t="s">
        <v>291</v>
      </c>
      <c r="G22" s="2" t="s">
        <v>3095</v>
      </c>
      <c r="H22" s="2" t="s">
        <v>3092</v>
      </c>
      <c r="I22" s="1" t="s">
        <v>14</v>
      </c>
      <c r="J22" s="1" t="s">
        <v>4363</v>
      </c>
      <c r="K22" s="17"/>
      <c r="L22" s="54">
        <v>0.33</v>
      </c>
      <c r="M22" s="39"/>
      <c r="N22" s="39"/>
      <c r="O22" s="39">
        <v>496.13</v>
      </c>
      <c r="P22" s="39"/>
      <c r="Q22" s="39"/>
      <c r="R22" s="39"/>
      <c r="S22" s="39"/>
      <c r="T22" s="39"/>
      <c r="U22" s="39"/>
      <c r="V22" s="39"/>
      <c r="W22" s="92" t="s">
        <v>1710</v>
      </c>
    </row>
    <row r="23" spans="1:24" s="79" customFormat="1" ht="25.5" x14ac:dyDescent="0.2">
      <c r="A23" s="1" t="s">
        <v>44</v>
      </c>
      <c r="B23" s="2" t="s">
        <v>16</v>
      </c>
      <c r="C23" s="2" t="s">
        <v>45</v>
      </c>
      <c r="D23" s="2" t="s">
        <v>46</v>
      </c>
      <c r="E23" s="2">
        <v>2023</v>
      </c>
      <c r="F23" s="2" t="s">
        <v>311</v>
      </c>
      <c r="G23" s="2" t="s">
        <v>3095</v>
      </c>
      <c r="H23" s="2" t="s">
        <v>3092</v>
      </c>
      <c r="I23" s="1" t="s">
        <v>14</v>
      </c>
      <c r="J23" s="1" t="s">
        <v>4364</v>
      </c>
      <c r="K23" s="17"/>
      <c r="L23" s="80">
        <v>0.33</v>
      </c>
      <c r="M23" s="15"/>
      <c r="N23" s="15"/>
      <c r="O23" s="15">
        <v>507.44</v>
      </c>
      <c r="P23" s="15"/>
      <c r="Q23" s="15"/>
      <c r="R23" s="15"/>
      <c r="S23" s="15"/>
      <c r="T23" s="15"/>
      <c r="U23" s="15"/>
      <c r="V23" s="15"/>
      <c r="W23" s="92" t="s">
        <v>1710</v>
      </c>
    </row>
    <row r="24" spans="1:24" s="79" customFormat="1" ht="25.5" x14ac:dyDescent="0.2">
      <c r="A24" s="1" t="s">
        <v>44</v>
      </c>
      <c r="B24" s="2" t="s">
        <v>16</v>
      </c>
      <c r="C24" s="2" t="s">
        <v>45</v>
      </c>
      <c r="D24" s="2" t="s">
        <v>46</v>
      </c>
      <c r="E24" s="2">
        <v>2023</v>
      </c>
      <c r="F24" s="2" t="s">
        <v>337</v>
      </c>
      <c r="G24" s="2" t="s">
        <v>3095</v>
      </c>
      <c r="H24" s="2" t="s">
        <v>3092</v>
      </c>
      <c r="I24" s="1" t="s">
        <v>14</v>
      </c>
      <c r="J24" s="1" t="s">
        <v>4365</v>
      </c>
      <c r="K24" s="17"/>
      <c r="L24" s="54">
        <v>0.33</v>
      </c>
      <c r="M24" s="39"/>
      <c r="N24" s="39"/>
      <c r="O24" s="39">
        <v>490.97</v>
      </c>
      <c r="P24" s="39"/>
      <c r="Q24" s="39"/>
      <c r="R24" s="39"/>
      <c r="S24" s="39"/>
      <c r="T24" s="39"/>
      <c r="U24" s="39"/>
      <c r="V24" s="39"/>
      <c r="W24" s="92" t="s">
        <v>1710</v>
      </c>
    </row>
    <row r="25" spans="1:24" s="79" customFormat="1" ht="25.5" x14ac:dyDescent="0.2">
      <c r="A25" s="1" t="s">
        <v>44</v>
      </c>
      <c r="B25" s="2" t="s">
        <v>16</v>
      </c>
      <c r="C25" s="2" t="s">
        <v>45</v>
      </c>
      <c r="D25" s="2" t="s">
        <v>46</v>
      </c>
      <c r="E25" s="2">
        <v>2023</v>
      </c>
      <c r="F25" s="2" t="s">
        <v>364</v>
      </c>
      <c r="G25" s="2" t="s">
        <v>3095</v>
      </c>
      <c r="H25" s="2" t="s">
        <v>3092</v>
      </c>
      <c r="I25" s="1" t="s">
        <v>14</v>
      </c>
      <c r="J25" s="1" t="s">
        <v>4366</v>
      </c>
      <c r="K25" s="17"/>
      <c r="L25" s="54">
        <v>0.34</v>
      </c>
      <c r="M25" s="39"/>
      <c r="N25" s="39"/>
      <c r="O25" s="39">
        <v>570.1</v>
      </c>
      <c r="P25" s="39"/>
      <c r="Q25" s="39"/>
      <c r="R25" s="39"/>
      <c r="S25" s="39"/>
      <c r="T25" s="39"/>
      <c r="U25" s="39"/>
      <c r="V25" s="39"/>
      <c r="W25" s="92" t="s">
        <v>1710</v>
      </c>
    </row>
    <row r="26" spans="1:24" s="79" customFormat="1" ht="25.5" x14ac:dyDescent="0.2">
      <c r="A26" s="1" t="s">
        <v>44</v>
      </c>
      <c r="B26" s="2" t="s">
        <v>16</v>
      </c>
      <c r="C26" s="2" t="s">
        <v>45</v>
      </c>
      <c r="D26" s="2" t="s">
        <v>46</v>
      </c>
      <c r="E26" s="2">
        <v>2023</v>
      </c>
      <c r="F26" s="2" t="s">
        <v>388</v>
      </c>
      <c r="G26" s="2" t="s">
        <v>3095</v>
      </c>
      <c r="H26" s="2" t="s">
        <v>3092</v>
      </c>
      <c r="I26" s="1" t="s">
        <v>14</v>
      </c>
      <c r="J26" s="1" t="s">
        <v>4367</v>
      </c>
      <c r="K26" s="17"/>
      <c r="L26" s="53">
        <v>0.34</v>
      </c>
      <c r="M26" s="39"/>
      <c r="N26" s="39"/>
      <c r="O26" s="39">
        <v>465.49</v>
      </c>
      <c r="P26" s="39"/>
      <c r="Q26" s="39"/>
      <c r="R26" s="39"/>
      <c r="S26" s="39"/>
      <c r="T26" s="39"/>
      <c r="U26" s="39"/>
      <c r="V26" s="39"/>
      <c r="W26" s="92" t="s">
        <v>1710</v>
      </c>
      <c r="X26"/>
    </row>
    <row r="27" spans="1:24" s="79" customFormat="1" ht="51" x14ac:dyDescent="0.2">
      <c r="A27" s="1" t="s">
        <v>101</v>
      </c>
      <c r="B27" s="2" t="s">
        <v>38</v>
      </c>
      <c r="C27" s="2" t="s">
        <v>102</v>
      </c>
      <c r="D27" s="2" t="s">
        <v>100</v>
      </c>
      <c r="E27" s="2">
        <v>2023</v>
      </c>
      <c r="F27" s="2" t="s">
        <v>13</v>
      </c>
      <c r="G27" s="2" t="s">
        <v>3095</v>
      </c>
      <c r="H27" s="2" t="s">
        <v>3092</v>
      </c>
      <c r="I27" s="1" t="s">
        <v>14</v>
      </c>
      <c r="J27" s="1" t="s">
        <v>4368</v>
      </c>
      <c r="K27" s="17"/>
      <c r="L27" s="54">
        <v>0.17</v>
      </c>
      <c r="M27" s="39"/>
      <c r="N27" s="39"/>
      <c r="O27" s="39">
        <v>1849.45</v>
      </c>
      <c r="P27" s="39">
        <v>113.91</v>
      </c>
      <c r="Q27" s="39"/>
      <c r="R27" s="39"/>
      <c r="S27" s="39"/>
      <c r="T27" s="39"/>
      <c r="U27" s="39"/>
      <c r="V27" s="39"/>
      <c r="W27" s="92" t="s">
        <v>1742</v>
      </c>
    </row>
    <row r="28" spans="1:24" s="79" customFormat="1" ht="63.75" x14ac:dyDescent="0.2">
      <c r="A28" s="1" t="s">
        <v>101</v>
      </c>
      <c r="B28" s="2" t="s">
        <v>38</v>
      </c>
      <c r="C28" s="2" t="s">
        <v>102</v>
      </c>
      <c r="D28" s="2" t="s">
        <v>100</v>
      </c>
      <c r="E28" s="2">
        <v>2023</v>
      </c>
      <c r="F28" s="2" t="s">
        <v>188</v>
      </c>
      <c r="G28" s="2" t="s">
        <v>3095</v>
      </c>
      <c r="H28" s="2" t="s">
        <v>3092</v>
      </c>
      <c r="I28" s="1" t="s">
        <v>14</v>
      </c>
      <c r="J28" s="1" t="s">
        <v>4369</v>
      </c>
      <c r="K28" s="17"/>
      <c r="L28" s="54">
        <v>0.17399999999999999</v>
      </c>
      <c r="M28" s="39"/>
      <c r="N28" s="39"/>
      <c r="O28" s="39">
        <v>1405.1</v>
      </c>
      <c r="P28" s="39">
        <v>367.97</v>
      </c>
      <c r="Q28" s="39"/>
      <c r="R28" s="39"/>
      <c r="S28" s="39"/>
      <c r="T28" s="39"/>
      <c r="U28" s="39"/>
      <c r="V28" s="39"/>
      <c r="W28" s="92" t="s">
        <v>1742</v>
      </c>
    </row>
    <row r="29" spans="1:24" s="79" customFormat="1" ht="51" x14ac:dyDescent="0.2">
      <c r="A29" s="1" t="s">
        <v>101</v>
      </c>
      <c r="B29" s="2" t="s">
        <v>38</v>
      </c>
      <c r="C29" s="2" t="s">
        <v>102</v>
      </c>
      <c r="D29" s="2" t="s">
        <v>100</v>
      </c>
      <c r="E29" s="2">
        <v>2023</v>
      </c>
      <c r="F29" s="2" t="s">
        <v>203</v>
      </c>
      <c r="G29" s="2" t="s">
        <v>3095</v>
      </c>
      <c r="H29" s="2" t="s">
        <v>3092</v>
      </c>
      <c r="I29" s="1" t="s">
        <v>14</v>
      </c>
      <c r="J29" s="1" t="s">
        <v>4370</v>
      </c>
      <c r="K29" s="17"/>
      <c r="L29" s="54">
        <v>0.17499999999999999</v>
      </c>
      <c r="M29" s="39"/>
      <c r="N29" s="39"/>
      <c r="O29" s="39">
        <v>850.9</v>
      </c>
      <c r="P29" s="39">
        <v>696.68</v>
      </c>
      <c r="Q29" s="39"/>
      <c r="R29" s="39"/>
      <c r="S29" s="39"/>
      <c r="T29" s="39"/>
      <c r="U29" s="39"/>
      <c r="V29" s="39"/>
      <c r="W29" s="92" t="s">
        <v>1742</v>
      </c>
    </row>
    <row r="30" spans="1:24" s="79" customFormat="1" ht="51" x14ac:dyDescent="0.2">
      <c r="A30" s="1" t="s">
        <v>101</v>
      </c>
      <c r="B30" s="2" t="s">
        <v>38</v>
      </c>
      <c r="C30" s="2" t="s">
        <v>102</v>
      </c>
      <c r="D30" s="2" t="s">
        <v>100</v>
      </c>
      <c r="E30" s="2">
        <v>2023</v>
      </c>
      <c r="F30" s="2" t="s">
        <v>211</v>
      </c>
      <c r="G30" s="2" t="s">
        <v>3095</v>
      </c>
      <c r="H30" s="2" t="s">
        <v>3092</v>
      </c>
      <c r="I30" s="1" t="s">
        <v>14</v>
      </c>
      <c r="J30" s="1" t="s">
        <v>4371</v>
      </c>
      <c r="K30" s="17"/>
      <c r="L30" s="54">
        <v>0.185</v>
      </c>
      <c r="M30" s="39"/>
      <c r="N30" s="39"/>
      <c r="O30" s="39">
        <v>806.64</v>
      </c>
      <c r="P30" s="39">
        <v>587.19000000000005</v>
      </c>
      <c r="Q30" s="39"/>
      <c r="R30" s="39"/>
      <c r="S30" s="39"/>
      <c r="T30" s="39"/>
      <c r="U30" s="39"/>
      <c r="V30" s="39"/>
      <c r="W30" s="92" t="s">
        <v>1742</v>
      </c>
    </row>
    <row r="31" spans="1:24" s="79" customFormat="1" ht="51" x14ac:dyDescent="0.2">
      <c r="A31" s="1" t="s">
        <v>101</v>
      </c>
      <c r="B31" s="2" t="s">
        <v>38</v>
      </c>
      <c r="C31" s="2" t="s">
        <v>102</v>
      </c>
      <c r="D31" s="2" t="s">
        <v>100</v>
      </c>
      <c r="E31" s="2">
        <v>2023</v>
      </c>
      <c r="F31" s="2" t="s">
        <v>221</v>
      </c>
      <c r="G31" s="2" t="s">
        <v>3095</v>
      </c>
      <c r="H31" s="2" t="s">
        <v>3092</v>
      </c>
      <c r="I31" s="1" t="s">
        <v>14</v>
      </c>
      <c r="J31" s="1" t="s">
        <v>4372</v>
      </c>
      <c r="K31" s="17"/>
      <c r="L31" s="54">
        <v>0.193</v>
      </c>
      <c r="M31" s="39"/>
      <c r="N31" s="39"/>
      <c r="O31" s="39">
        <v>1776.3</v>
      </c>
      <c r="P31" s="39">
        <v>308.16000000000003</v>
      </c>
      <c r="Q31" s="39"/>
      <c r="R31" s="39"/>
      <c r="S31" s="39"/>
      <c r="T31" s="39"/>
      <c r="U31" s="39"/>
      <c r="V31" s="39"/>
      <c r="W31" s="92" t="s">
        <v>1742</v>
      </c>
    </row>
    <row r="32" spans="1:24" s="79" customFormat="1" ht="38.25" x14ac:dyDescent="0.2">
      <c r="A32" s="1" t="s">
        <v>101</v>
      </c>
      <c r="B32" s="2" t="s">
        <v>38</v>
      </c>
      <c r="C32" s="2" t="s">
        <v>102</v>
      </c>
      <c r="D32" s="2" t="s">
        <v>100</v>
      </c>
      <c r="E32" s="2">
        <v>2023</v>
      </c>
      <c r="F32" s="2" t="s">
        <v>256</v>
      </c>
      <c r="G32" s="2" t="s">
        <v>3095</v>
      </c>
      <c r="H32" s="2" t="s">
        <v>3092</v>
      </c>
      <c r="I32" s="1" t="s">
        <v>14</v>
      </c>
      <c r="J32" s="1" t="s">
        <v>4373</v>
      </c>
      <c r="K32" s="17"/>
      <c r="L32" s="54">
        <v>0.20599999999999999</v>
      </c>
      <c r="M32" s="39"/>
      <c r="N32" s="39"/>
      <c r="O32" s="15">
        <v>1693.23</v>
      </c>
      <c r="P32" s="39"/>
      <c r="Q32" s="39"/>
      <c r="R32" s="39"/>
      <c r="S32" s="39"/>
      <c r="T32" s="39"/>
      <c r="U32" s="39"/>
      <c r="V32" s="39"/>
      <c r="W32" s="92" t="s">
        <v>1742</v>
      </c>
    </row>
    <row r="33" spans="1:23" s="79" customFormat="1" ht="38.25" x14ac:dyDescent="0.2">
      <c r="A33" s="1" t="s">
        <v>101</v>
      </c>
      <c r="B33" s="2" t="s">
        <v>38</v>
      </c>
      <c r="C33" s="2" t="s">
        <v>102</v>
      </c>
      <c r="D33" s="2" t="s">
        <v>100</v>
      </c>
      <c r="E33" s="2">
        <v>2023</v>
      </c>
      <c r="F33" s="2" t="s">
        <v>276</v>
      </c>
      <c r="G33" s="2" t="s">
        <v>3095</v>
      </c>
      <c r="H33" s="2" t="s">
        <v>3092</v>
      </c>
      <c r="I33" s="1" t="s">
        <v>14</v>
      </c>
      <c r="J33" s="1" t="s">
        <v>4374</v>
      </c>
      <c r="K33" s="17"/>
      <c r="L33" s="54">
        <v>0.20399999999999999</v>
      </c>
      <c r="M33" s="39"/>
      <c r="N33" s="39"/>
      <c r="O33" s="39">
        <v>1890.76</v>
      </c>
      <c r="P33" s="39"/>
      <c r="Q33" s="39"/>
      <c r="R33" s="39"/>
      <c r="S33" s="39"/>
      <c r="T33" s="39"/>
      <c r="U33" s="39"/>
      <c r="V33" s="39"/>
      <c r="W33" s="92" t="s">
        <v>1742</v>
      </c>
    </row>
    <row r="34" spans="1:23" s="79" customFormat="1" ht="38.25" x14ac:dyDescent="0.2">
      <c r="A34" s="1" t="s">
        <v>101</v>
      </c>
      <c r="B34" s="2" t="s">
        <v>38</v>
      </c>
      <c r="C34" s="2" t="s">
        <v>102</v>
      </c>
      <c r="D34" s="2" t="s">
        <v>100</v>
      </c>
      <c r="E34" s="2">
        <v>2023</v>
      </c>
      <c r="F34" s="2" t="s">
        <v>291</v>
      </c>
      <c r="G34" s="2" t="s">
        <v>3095</v>
      </c>
      <c r="H34" s="2" t="s">
        <v>3092</v>
      </c>
      <c r="I34" s="1" t="s">
        <v>14</v>
      </c>
      <c r="J34" s="1" t="s">
        <v>4375</v>
      </c>
      <c r="K34" s="17"/>
      <c r="L34" s="54">
        <v>0.191</v>
      </c>
      <c r="M34" s="39"/>
      <c r="N34" s="39"/>
      <c r="O34" s="39">
        <v>1706.22</v>
      </c>
      <c r="P34" s="39"/>
      <c r="Q34" s="39"/>
      <c r="R34" s="39"/>
      <c r="S34" s="39"/>
      <c r="T34" s="39"/>
      <c r="U34" s="39"/>
      <c r="V34" s="39"/>
      <c r="W34" s="92" t="s">
        <v>1742</v>
      </c>
    </row>
    <row r="35" spans="1:23" s="79" customFormat="1" ht="51" x14ac:dyDescent="0.2">
      <c r="A35" s="1" t="s">
        <v>101</v>
      </c>
      <c r="B35" s="2" t="s">
        <v>38</v>
      </c>
      <c r="C35" s="2" t="s">
        <v>102</v>
      </c>
      <c r="D35" s="2" t="s">
        <v>100</v>
      </c>
      <c r="E35" s="2">
        <v>2023</v>
      </c>
      <c r="F35" s="2" t="s">
        <v>311</v>
      </c>
      <c r="G35" s="2" t="s">
        <v>3095</v>
      </c>
      <c r="H35" s="2" t="s">
        <v>3092</v>
      </c>
      <c r="I35" s="1" t="s">
        <v>14</v>
      </c>
      <c r="J35" s="1" t="s">
        <v>4376</v>
      </c>
      <c r="K35" s="17"/>
      <c r="L35" s="54">
        <v>0.189</v>
      </c>
      <c r="M35" s="39"/>
      <c r="N35" s="39"/>
      <c r="O35" s="39">
        <v>1252.23</v>
      </c>
      <c r="P35" s="39">
        <v>284.23</v>
      </c>
      <c r="Q35" s="39"/>
      <c r="R35" s="39"/>
      <c r="S35" s="39"/>
      <c r="T35" s="39"/>
      <c r="U35" s="39"/>
      <c r="V35" s="39"/>
      <c r="W35" s="92" t="s">
        <v>1742</v>
      </c>
    </row>
    <row r="36" spans="1:23" s="79" customFormat="1" ht="51" x14ac:dyDescent="0.2">
      <c r="A36" s="1" t="s">
        <v>101</v>
      </c>
      <c r="B36" s="2" t="s">
        <v>38</v>
      </c>
      <c r="C36" s="2" t="s">
        <v>102</v>
      </c>
      <c r="D36" s="2" t="s">
        <v>100</v>
      </c>
      <c r="E36" s="2">
        <v>2023</v>
      </c>
      <c r="F36" s="2" t="s">
        <v>337</v>
      </c>
      <c r="G36" s="2" t="s">
        <v>3095</v>
      </c>
      <c r="H36" s="2" t="s">
        <v>3092</v>
      </c>
      <c r="I36" s="1" t="s">
        <v>14</v>
      </c>
      <c r="J36" s="1" t="s">
        <v>4377</v>
      </c>
      <c r="K36" s="17"/>
      <c r="L36" s="54">
        <v>0.19</v>
      </c>
      <c r="M36" s="39"/>
      <c r="N36" s="39"/>
      <c r="O36" s="39">
        <v>1766.78</v>
      </c>
      <c r="P36" s="39">
        <v>30.8</v>
      </c>
      <c r="Q36" s="39"/>
      <c r="R36" s="39"/>
      <c r="S36" s="39"/>
      <c r="T36" s="39"/>
      <c r="U36" s="39"/>
      <c r="V36" s="39"/>
      <c r="W36" s="92" t="s">
        <v>1742</v>
      </c>
    </row>
    <row r="37" spans="1:23" s="79" customFormat="1" ht="63.75" x14ac:dyDescent="0.2">
      <c r="A37" s="1" t="s">
        <v>101</v>
      </c>
      <c r="B37" s="2" t="s">
        <v>38</v>
      </c>
      <c r="C37" s="2" t="s">
        <v>102</v>
      </c>
      <c r="D37" s="2" t="s">
        <v>100</v>
      </c>
      <c r="E37" s="2">
        <v>2023</v>
      </c>
      <c r="F37" s="2" t="s">
        <v>364</v>
      </c>
      <c r="G37" s="2" t="s">
        <v>3095</v>
      </c>
      <c r="H37" s="2" t="s">
        <v>3092</v>
      </c>
      <c r="I37" s="1" t="s">
        <v>14</v>
      </c>
      <c r="J37" s="1" t="s">
        <v>4378</v>
      </c>
      <c r="K37" s="17"/>
      <c r="L37" s="54">
        <v>0.191</v>
      </c>
      <c r="M37" s="39"/>
      <c r="N37" s="39"/>
      <c r="O37" s="39">
        <v>565.17999999999995</v>
      </c>
      <c r="P37" s="39">
        <v>604.95000000000005</v>
      </c>
      <c r="Q37" s="39"/>
      <c r="R37" s="39"/>
      <c r="S37" s="39">
        <v>567.25</v>
      </c>
      <c r="T37" s="39"/>
      <c r="U37" s="39"/>
      <c r="V37" s="39"/>
      <c r="W37" s="92" t="s">
        <v>1742</v>
      </c>
    </row>
    <row r="38" spans="1:23" s="79" customFormat="1" ht="63.75" x14ac:dyDescent="0.2">
      <c r="A38" s="1" t="s">
        <v>101</v>
      </c>
      <c r="B38" s="2" t="s">
        <v>38</v>
      </c>
      <c r="C38" s="2" t="s">
        <v>102</v>
      </c>
      <c r="D38" s="2" t="s">
        <v>100</v>
      </c>
      <c r="E38" s="2">
        <v>2023</v>
      </c>
      <c r="F38" s="2" t="s">
        <v>388</v>
      </c>
      <c r="G38" s="2" t="s">
        <v>3095</v>
      </c>
      <c r="H38" s="2" t="s">
        <v>3092</v>
      </c>
      <c r="I38" s="1" t="s">
        <v>14</v>
      </c>
      <c r="J38" s="1" t="s">
        <v>4379</v>
      </c>
      <c r="K38" s="17"/>
      <c r="L38" s="54">
        <v>0.187</v>
      </c>
      <c r="M38" s="39"/>
      <c r="N38" s="39"/>
      <c r="O38" s="39">
        <v>1018.96</v>
      </c>
      <c r="P38" s="39"/>
      <c r="Q38" s="39"/>
      <c r="R38" s="39"/>
      <c r="S38" s="39">
        <v>488.14</v>
      </c>
      <c r="T38" s="39"/>
      <c r="U38" s="39"/>
      <c r="V38" s="39"/>
      <c r="W38" s="92" t="s">
        <v>1742</v>
      </c>
    </row>
    <row r="39" spans="1:23" s="79" customFormat="1" ht="76.5" x14ac:dyDescent="0.2">
      <c r="A39" s="1" t="s">
        <v>476</v>
      </c>
      <c r="B39" s="2" t="s">
        <v>4380</v>
      </c>
      <c r="C39" s="2" t="s">
        <v>477</v>
      </c>
      <c r="D39" s="2" t="s">
        <v>275</v>
      </c>
      <c r="E39" s="2">
        <v>2023</v>
      </c>
      <c r="F39" s="2" t="s">
        <v>256</v>
      </c>
      <c r="G39" s="2" t="s">
        <v>3093</v>
      </c>
      <c r="H39" s="2" t="s">
        <v>3092</v>
      </c>
      <c r="I39" s="1" t="s">
        <v>14</v>
      </c>
      <c r="J39" s="1" t="s">
        <v>4381</v>
      </c>
      <c r="K39" s="17"/>
      <c r="L39" s="54">
        <v>0.24859999999999999</v>
      </c>
      <c r="M39" s="39"/>
      <c r="N39" s="39"/>
      <c r="O39" s="39">
        <v>439.91</v>
      </c>
      <c r="P39" s="39"/>
      <c r="Q39" s="39"/>
      <c r="R39" s="39"/>
      <c r="S39" s="39"/>
      <c r="T39" s="39"/>
      <c r="U39" s="39"/>
      <c r="V39" s="39"/>
      <c r="W39" s="92"/>
    </row>
    <row r="40" spans="1:23" s="79" customFormat="1" ht="51" x14ac:dyDescent="0.2">
      <c r="A40" s="1" t="s">
        <v>476</v>
      </c>
      <c r="B40" s="2" t="s">
        <v>4380</v>
      </c>
      <c r="C40" s="2" t="s">
        <v>477</v>
      </c>
      <c r="D40" s="2" t="s">
        <v>275</v>
      </c>
      <c r="E40" s="2">
        <v>2023</v>
      </c>
      <c r="F40" s="2" t="s">
        <v>337</v>
      </c>
      <c r="G40" s="2" t="s">
        <v>3092</v>
      </c>
      <c r="H40" s="2" t="s">
        <v>3092</v>
      </c>
      <c r="I40" s="1" t="s">
        <v>4382</v>
      </c>
      <c r="J40" s="1" t="s">
        <v>4383</v>
      </c>
      <c r="K40" s="17"/>
      <c r="L40" s="54">
        <v>0.18329999999999999</v>
      </c>
      <c r="M40" s="39"/>
      <c r="N40" s="39"/>
      <c r="O40" s="39">
        <f>659/L40</f>
        <v>3595.1991271140209</v>
      </c>
      <c r="P40" s="39"/>
      <c r="Q40" s="39"/>
      <c r="R40" s="39"/>
      <c r="S40" s="39"/>
      <c r="T40" s="39"/>
      <c r="U40" s="39"/>
      <c r="V40" s="39"/>
      <c r="W40" s="92" t="s">
        <v>4384</v>
      </c>
    </row>
    <row r="41" spans="1:23" s="79" customFormat="1" ht="51" x14ac:dyDescent="0.2">
      <c r="A41" s="1" t="s">
        <v>476</v>
      </c>
      <c r="B41" s="2" t="s">
        <v>4380</v>
      </c>
      <c r="C41" s="2" t="s">
        <v>477</v>
      </c>
      <c r="D41" s="2" t="s">
        <v>275</v>
      </c>
      <c r="E41" s="2">
        <v>2023</v>
      </c>
      <c r="F41" s="2" t="s">
        <v>364</v>
      </c>
      <c r="G41" s="2" t="s">
        <v>3092</v>
      </c>
      <c r="H41" s="2" t="s">
        <v>3092</v>
      </c>
      <c r="I41" s="1" t="s">
        <v>4385</v>
      </c>
      <c r="J41" s="1" t="s">
        <v>4386</v>
      </c>
      <c r="K41" s="17"/>
      <c r="L41" s="54">
        <v>0.32500000000000001</v>
      </c>
      <c r="M41" s="39"/>
      <c r="N41" s="39"/>
      <c r="O41" s="39">
        <f>582/L41</f>
        <v>1790.7692307692307</v>
      </c>
      <c r="P41" s="39"/>
      <c r="Q41" s="39"/>
      <c r="R41" s="39"/>
      <c r="S41" s="39"/>
      <c r="T41" s="39"/>
      <c r="U41" s="39"/>
      <c r="V41" s="39"/>
      <c r="W41" s="92" t="s">
        <v>4384</v>
      </c>
    </row>
    <row r="42" spans="1:23" s="79" customFormat="1" ht="25.5" x14ac:dyDescent="0.2">
      <c r="A42" s="1" t="s">
        <v>334</v>
      </c>
      <c r="B42" s="2" t="s">
        <v>196</v>
      </c>
      <c r="C42" s="2" t="s">
        <v>335</v>
      </c>
      <c r="D42" s="2" t="s">
        <v>141</v>
      </c>
      <c r="E42" s="2">
        <v>2023</v>
      </c>
      <c r="F42" s="2" t="s">
        <v>311</v>
      </c>
      <c r="G42" s="2" t="s">
        <v>3092</v>
      </c>
      <c r="H42" s="2" t="s">
        <v>3093</v>
      </c>
      <c r="I42" s="1" t="s">
        <v>4387</v>
      </c>
      <c r="J42" s="1" t="s">
        <v>14</v>
      </c>
      <c r="K42" s="17"/>
      <c r="L42" s="54" t="s">
        <v>1670</v>
      </c>
      <c r="M42" s="39"/>
      <c r="N42" s="39"/>
      <c r="O42" s="39"/>
      <c r="P42" s="39"/>
      <c r="Q42" s="39"/>
      <c r="R42" s="39"/>
      <c r="S42" s="39"/>
      <c r="T42" s="39"/>
      <c r="U42" s="39"/>
      <c r="V42" s="39"/>
      <c r="W42" s="92" t="s">
        <v>1683</v>
      </c>
    </row>
    <row r="43" spans="1:23" s="79" customFormat="1" ht="25.5" x14ac:dyDescent="0.2">
      <c r="A43" s="1" t="s">
        <v>334</v>
      </c>
      <c r="B43" s="2" t="s">
        <v>196</v>
      </c>
      <c r="C43" s="2" t="s">
        <v>335</v>
      </c>
      <c r="D43" s="2" t="s">
        <v>141</v>
      </c>
      <c r="E43" s="2">
        <v>2023</v>
      </c>
      <c r="F43" s="2" t="s">
        <v>337</v>
      </c>
      <c r="G43" s="2" t="s">
        <v>3092</v>
      </c>
      <c r="H43" s="2" t="s">
        <v>3093</v>
      </c>
      <c r="I43" s="1" t="s">
        <v>4388</v>
      </c>
      <c r="J43" s="1" t="s">
        <v>14</v>
      </c>
      <c r="K43" s="17"/>
      <c r="L43" s="54" t="s">
        <v>1670</v>
      </c>
      <c r="M43" s="39"/>
      <c r="N43" s="39"/>
      <c r="O43" s="39"/>
      <c r="P43" s="39"/>
      <c r="Q43" s="39"/>
      <c r="R43" s="39"/>
      <c r="S43" s="39"/>
      <c r="T43" s="39"/>
      <c r="U43" s="39"/>
      <c r="V43" s="39"/>
      <c r="W43" s="92" t="s">
        <v>1683</v>
      </c>
    </row>
    <row r="44" spans="1:23" s="79" customFormat="1" ht="51" x14ac:dyDescent="0.2">
      <c r="A44" s="1" t="s">
        <v>151</v>
      </c>
      <c r="B44" s="2" t="s">
        <v>16</v>
      </c>
      <c r="C44" s="2" t="s">
        <v>152</v>
      </c>
      <c r="D44" s="2" t="s">
        <v>141</v>
      </c>
      <c r="E44" s="2">
        <v>2023</v>
      </c>
      <c r="F44" s="2" t="s">
        <v>13</v>
      </c>
      <c r="G44" s="2" t="s">
        <v>3095</v>
      </c>
      <c r="H44" s="2" t="s">
        <v>3092</v>
      </c>
      <c r="I44" s="1" t="s">
        <v>14</v>
      </c>
      <c r="J44" s="1" t="s">
        <v>4389</v>
      </c>
      <c r="K44" s="17"/>
      <c r="L44" s="53">
        <v>0.19500000000000001</v>
      </c>
      <c r="M44" s="39"/>
      <c r="N44" s="39"/>
      <c r="O44" s="39"/>
      <c r="P44" s="39"/>
      <c r="Q44" s="39"/>
      <c r="R44" s="39"/>
      <c r="S44" s="39">
        <v>2196</v>
      </c>
      <c r="T44" s="39"/>
      <c r="U44" s="39"/>
      <c r="V44" s="39"/>
      <c r="W44" s="92" t="s">
        <v>3153</v>
      </c>
    </row>
    <row r="45" spans="1:23" s="79" customFormat="1" ht="51" x14ac:dyDescent="0.2">
      <c r="A45" s="1" t="s">
        <v>151</v>
      </c>
      <c r="B45" s="2" t="s">
        <v>16</v>
      </c>
      <c r="C45" s="2" t="s">
        <v>152</v>
      </c>
      <c r="D45" s="2" t="s">
        <v>141</v>
      </c>
      <c r="E45" s="2">
        <v>2023</v>
      </c>
      <c r="F45" s="2" t="s">
        <v>188</v>
      </c>
      <c r="G45" s="2" t="s">
        <v>3095</v>
      </c>
      <c r="H45" s="2" t="s">
        <v>3092</v>
      </c>
      <c r="I45" s="1" t="s">
        <v>14</v>
      </c>
      <c r="J45" s="1" t="s">
        <v>4390</v>
      </c>
      <c r="K45" s="17"/>
      <c r="L45" s="54">
        <v>0.1966</v>
      </c>
      <c r="M45" s="39"/>
      <c r="N45" s="39"/>
      <c r="O45" s="39"/>
      <c r="P45" s="39"/>
      <c r="Q45" s="39"/>
      <c r="R45" s="39"/>
      <c r="S45" s="39">
        <v>1769</v>
      </c>
      <c r="T45" s="39"/>
      <c r="U45" s="39"/>
      <c r="V45" s="39"/>
      <c r="W45" s="92" t="s">
        <v>3153</v>
      </c>
    </row>
    <row r="46" spans="1:23" s="79" customFormat="1" ht="51" x14ac:dyDescent="0.2">
      <c r="A46" s="1" t="s">
        <v>151</v>
      </c>
      <c r="B46" s="2" t="s">
        <v>16</v>
      </c>
      <c r="C46" s="2" t="s">
        <v>152</v>
      </c>
      <c r="D46" s="2" t="s">
        <v>141</v>
      </c>
      <c r="E46" s="2">
        <v>2023</v>
      </c>
      <c r="F46" s="2" t="s">
        <v>203</v>
      </c>
      <c r="G46" s="2" t="s">
        <v>3095</v>
      </c>
      <c r="H46" s="2" t="s">
        <v>3092</v>
      </c>
      <c r="I46" s="1" t="s">
        <v>14</v>
      </c>
      <c r="J46" s="1" t="s">
        <v>4391</v>
      </c>
      <c r="K46" s="17"/>
      <c r="L46" s="54">
        <v>0.20300000000000001</v>
      </c>
      <c r="M46" s="39"/>
      <c r="N46" s="39"/>
      <c r="O46" s="39"/>
      <c r="P46" s="39"/>
      <c r="Q46" s="39"/>
      <c r="R46" s="39"/>
      <c r="S46" s="39">
        <v>2100</v>
      </c>
      <c r="T46" s="39"/>
      <c r="U46" s="39"/>
      <c r="V46" s="39"/>
      <c r="W46" s="92" t="s">
        <v>3153</v>
      </c>
    </row>
    <row r="47" spans="1:23" s="79" customFormat="1" ht="51" x14ac:dyDescent="0.2">
      <c r="A47" s="1" t="s">
        <v>151</v>
      </c>
      <c r="B47" s="2" t="s">
        <v>16</v>
      </c>
      <c r="C47" s="2" t="s">
        <v>152</v>
      </c>
      <c r="D47" s="2" t="s">
        <v>141</v>
      </c>
      <c r="E47" s="2">
        <v>2023</v>
      </c>
      <c r="F47" s="2" t="s">
        <v>211</v>
      </c>
      <c r="G47" s="2" t="s">
        <v>3095</v>
      </c>
      <c r="H47" s="2" t="s">
        <v>3092</v>
      </c>
      <c r="I47" s="1" t="s">
        <v>14</v>
      </c>
      <c r="J47" s="1" t="s">
        <v>4392</v>
      </c>
      <c r="K47" s="17"/>
      <c r="L47" s="54">
        <v>0.23849999999999999</v>
      </c>
      <c r="M47" s="39"/>
      <c r="N47" s="39"/>
      <c r="O47" s="39"/>
      <c r="P47" s="39"/>
      <c r="Q47" s="39"/>
      <c r="R47" s="39"/>
      <c r="S47" s="39">
        <v>1630</v>
      </c>
      <c r="T47" s="39"/>
      <c r="U47" s="39"/>
      <c r="V47" s="39"/>
      <c r="W47" s="92" t="s">
        <v>3153</v>
      </c>
    </row>
    <row r="48" spans="1:23" s="79" customFormat="1" ht="51" x14ac:dyDescent="0.2">
      <c r="A48" s="1" t="s">
        <v>151</v>
      </c>
      <c r="B48" s="2" t="s">
        <v>16</v>
      </c>
      <c r="C48" s="2" t="s">
        <v>152</v>
      </c>
      <c r="D48" s="2" t="s">
        <v>141</v>
      </c>
      <c r="E48" s="2">
        <v>2023</v>
      </c>
      <c r="F48" s="2" t="s">
        <v>221</v>
      </c>
      <c r="G48" s="2" t="s">
        <v>3095</v>
      </c>
      <c r="H48" s="2" t="s">
        <v>3092</v>
      </c>
      <c r="I48" s="1" t="s">
        <v>14</v>
      </c>
      <c r="J48" s="1" t="s">
        <v>4393</v>
      </c>
      <c r="K48" s="17"/>
      <c r="L48" s="54">
        <v>0.22</v>
      </c>
      <c r="M48" s="39"/>
      <c r="N48" s="39"/>
      <c r="O48" s="39"/>
      <c r="P48" s="39"/>
      <c r="Q48" s="39"/>
      <c r="R48" s="39"/>
      <c r="S48" s="39">
        <v>1820</v>
      </c>
      <c r="T48" s="39"/>
      <c r="U48" s="39"/>
      <c r="V48" s="39"/>
      <c r="W48" s="92" t="s">
        <v>3153</v>
      </c>
    </row>
    <row r="49" spans="1:24" s="79" customFormat="1" ht="51" x14ac:dyDescent="0.2">
      <c r="A49" s="1" t="s">
        <v>151</v>
      </c>
      <c r="B49" s="2" t="s">
        <v>16</v>
      </c>
      <c r="C49" s="2" t="s">
        <v>152</v>
      </c>
      <c r="D49" s="2" t="s">
        <v>141</v>
      </c>
      <c r="E49" s="2">
        <v>2023</v>
      </c>
      <c r="F49" s="2" t="s">
        <v>256</v>
      </c>
      <c r="G49" s="2" t="s">
        <v>3095</v>
      </c>
      <c r="H49" s="2" t="s">
        <v>3092</v>
      </c>
      <c r="I49" s="1" t="s">
        <v>14</v>
      </c>
      <c r="J49" s="1" t="s">
        <v>4394</v>
      </c>
      <c r="K49" s="17"/>
      <c r="L49" s="54">
        <v>0.2195</v>
      </c>
      <c r="M49" s="39"/>
      <c r="N49" s="39"/>
      <c r="O49" s="39"/>
      <c r="P49" s="39"/>
      <c r="Q49" s="39"/>
      <c r="R49" s="39"/>
      <c r="S49" s="39">
        <v>1843</v>
      </c>
      <c r="T49" s="39"/>
      <c r="U49" s="39"/>
      <c r="V49" s="39"/>
      <c r="W49" s="92" t="s">
        <v>3153</v>
      </c>
    </row>
    <row r="50" spans="1:24" s="79" customFormat="1" ht="51" x14ac:dyDescent="0.2">
      <c r="A50" s="1" t="s">
        <v>151</v>
      </c>
      <c r="B50" s="2" t="s">
        <v>16</v>
      </c>
      <c r="C50" s="2" t="s">
        <v>152</v>
      </c>
      <c r="D50" s="2" t="s">
        <v>141</v>
      </c>
      <c r="E50" s="2">
        <v>2023</v>
      </c>
      <c r="F50" s="2" t="s">
        <v>276</v>
      </c>
      <c r="G50" s="2" t="s">
        <v>3095</v>
      </c>
      <c r="H50" s="2" t="s">
        <v>3092</v>
      </c>
      <c r="I50" s="1" t="s">
        <v>14</v>
      </c>
      <c r="J50" s="1" t="s">
        <v>4395</v>
      </c>
      <c r="K50" s="17"/>
      <c r="L50" s="54">
        <v>0.22</v>
      </c>
      <c r="M50" s="39"/>
      <c r="N50" s="39"/>
      <c r="O50" s="39"/>
      <c r="P50" s="39"/>
      <c r="Q50" s="39"/>
      <c r="R50" s="39"/>
      <c r="S50" s="39">
        <v>1783</v>
      </c>
      <c r="T50" s="39"/>
      <c r="U50" s="39"/>
      <c r="V50" s="39"/>
      <c r="W50" s="92" t="s">
        <v>3153</v>
      </c>
    </row>
    <row r="51" spans="1:24" s="79" customFormat="1" ht="51" x14ac:dyDescent="0.2">
      <c r="A51" s="1" t="s">
        <v>151</v>
      </c>
      <c r="B51" s="2" t="s">
        <v>16</v>
      </c>
      <c r="C51" s="2" t="s">
        <v>152</v>
      </c>
      <c r="D51" s="2" t="s">
        <v>141</v>
      </c>
      <c r="E51" s="2">
        <v>2023</v>
      </c>
      <c r="F51" s="2" t="s">
        <v>291</v>
      </c>
      <c r="G51" s="2" t="s">
        <v>3095</v>
      </c>
      <c r="H51" s="2" t="s">
        <v>3092</v>
      </c>
      <c r="I51" s="1" t="s">
        <v>14</v>
      </c>
      <c r="J51" s="1" t="s">
        <v>4396</v>
      </c>
      <c r="K51" s="17"/>
      <c r="L51" s="54">
        <v>0.20899999999999999</v>
      </c>
      <c r="M51" s="39"/>
      <c r="N51" s="3"/>
      <c r="O51" s="39"/>
      <c r="P51" s="39"/>
      <c r="Q51" s="39"/>
      <c r="R51" s="39"/>
      <c r="S51" s="39">
        <v>2157</v>
      </c>
      <c r="T51" s="39"/>
      <c r="U51" s="39"/>
      <c r="V51" s="3"/>
      <c r="W51" s="92" t="s">
        <v>3153</v>
      </c>
    </row>
    <row r="52" spans="1:24" s="79" customFormat="1" ht="51" x14ac:dyDescent="0.2">
      <c r="A52" s="1" t="s">
        <v>151</v>
      </c>
      <c r="B52" s="2" t="s">
        <v>16</v>
      </c>
      <c r="C52" s="2" t="s">
        <v>152</v>
      </c>
      <c r="D52" s="2" t="s">
        <v>141</v>
      </c>
      <c r="E52" s="2">
        <v>2023</v>
      </c>
      <c r="F52" s="2" t="s">
        <v>311</v>
      </c>
      <c r="G52" s="2" t="s">
        <v>3095</v>
      </c>
      <c r="H52" s="2" t="s">
        <v>3092</v>
      </c>
      <c r="I52" s="1" t="s">
        <v>14</v>
      </c>
      <c r="J52" s="1" t="s">
        <v>4397</v>
      </c>
      <c r="K52" s="17"/>
      <c r="L52" s="54">
        <v>0.2077</v>
      </c>
      <c r="M52" s="39"/>
      <c r="N52" s="39"/>
      <c r="O52" s="39"/>
      <c r="P52" s="39"/>
      <c r="Q52" s="39"/>
      <c r="R52" s="39"/>
      <c r="S52" s="39">
        <v>1822</v>
      </c>
      <c r="T52" s="39"/>
      <c r="U52" s="39"/>
      <c r="V52" s="39"/>
      <c r="W52" s="92" t="s">
        <v>3153</v>
      </c>
    </row>
    <row r="53" spans="1:24" s="79" customFormat="1" ht="38.25" x14ac:dyDescent="0.2">
      <c r="A53" s="1" t="s">
        <v>151</v>
      </c>
      <c r="B53" s="2" t="s">
        <v>16</v>
      </c>
      <c r="C53" s="2" t="s">
        <v>152</v>
      </c>
      <c r="D53" s="2" t="s">
        <v>141</v>
      </c>
      <c r="E53" s="2">
        <v>2023</v>
      </c>
      <c r="F53" s="2" t="s">
        <v>337</v>
      </c>
      <c r="G53" s="2" t="s">
        <v>3095</v>
      </c>
      <c r="H53" s="2" t="s">
        <v>3092</v>
      </c>
      <c r="I53" s="1" t="s">
        <v>14</v>
      </c>
      <c r="J53" s="1" t="s">
        <v>4398</v>
      </c>
      <c r="K53" s="17"/>
      <c r="L53" s="54">
        <v>0.216</v>
      </c>
      <c r="M53" s="39"/>
      <c r="N53" s="39"/>
      <c r="O53" s="39"/>
      <c r="P53" s="39"/>
      <c r="Q53" s="39"/>
      <c r="R53" s="39"/>
      <c r="S53" s="39">
        <v>1766</v>
      </c>
      <c r="T53" s="39"/>
      <c r="U53" s="39"/>
      <c r="V53" s="39"/>
      <c r="W53" s="92" t="s">
        <v>3153</v>
      </c>
    </row>
    <row r="54" spans="1:24" s="79" customFormat="1" ht="51" x14ac:dyDescent="0.2">
      <c r="A54" s="1" t="s">
        <v>151</v>
      </c>
      <c r="B54" s="2" t="s">
        <v>16</v>
      </c>
      <c r="C54" s="2" t="s">
        <v>152</v>
      </c>
      <c r="D54" s="2" t="s">
        <v>141</v>
      </c>
      <c r="E54" s="2">
        <v>2023</v>
      </c>
      <c r="F54" s="2" t="s">
        <v>364</v>
      </c>
      <c r="G54" s="2" t="s">
        <v>3095</v>
      </c>
      <c r="H54" s="2" t="s">
        <v>3092</v>
      </c>
      <c r="I54" s="1" t="s">
        <v>14</v>
      </c>
      <c r="J54" s="1" t="s">
        <v>4399</v>
      </c>
      <c r="K54" s="17"/>
      <c r="L54" s="54">
        <v>0.2</v>
      </c>
      <c r="M54" s="39"/>
      <c r="N54" s="39"/>
      <c r="O54" s="39"/>
      <c r="P54" s="39"/>
      <c r="Q54" s="39"/>
      <c r="R54" s="39"/>
      <c r="S54" s="39">
        <v>2018</v>
      </c>
      <c r="T54" s="39"/>
      <c r="U54" s="39"/>
      <c r="V54" s="39"/>
      <c r="W54" s="92" t="s">
        <v>3153</v>
      </c>
    </row>
    <row r="55" spans="1:24" s="79" customFormat="1" ht="38.25" x14ac:dyDescent="0.2">
      <c r="A55" s="1" t="s">
        <v>151</v>
      </c>
      <c r="B55" s="2" t="s">
        <v>16</v>
      </c>
      <c r="C55" s="2" t="s">
        <v>152</v>
      </c>
      <c r="D55" s="2" t="s">
        <v>141</v>
      </c>
      <c r="E55" s="2">
        <v>2023</v>
      </c>
      <c r="F55" s="2" t="s">
        <v>388</v>
      </c>
      <c r="G55" s="2" t="s">
        <v>3095</v>
      </c>
      <c r="H55" s="2" t="s">
        <v>3092</v>
      </c>
      <c r="I55" s="1" t="s">
        <v>14</v>
      </c>
      <c r="J55" s="1" t="s">
        <v>4400</v>
      </c>
      <c r="K55" s="17"/>
      <c r="L55" s="54">
        <v>0.19</v>
      </c>
      <c r="M55" s="59"/>
      <c r="N55" s="59"/>
      <c r="O55" s="59"/>
      <c r="P55" s="59"/>
      <c r="Q55" s="59"/>
      <c r="R55" s="59"/>
      <c r="S55" s="39">
        <v>1958</v>
      </c>
      <c r="T55" s="59"/>
      <c r="U55" s="59"/>
      <c r="V55" s="59"/>
      <c r="W55" s="92" t="s">
        <v>3153</v>
      </c>
      <c r="X55"/>
    </row>
    <row r="56" spans="1:24" s="79" customFormat="1" ht="25.5" x14ac:dyDescent="0.2">
      <c r="A56" s="1" t="s">
        <v>68</v>
      </c>
      <c r="B56" s="2" t="s">
        <v>69</v>
      </c>
      <c r="C56" s="2" t="s">
        <v>70</v>
      </c>
      <c r="D56" s="2" t="s">
        <v>71</v>
      </c>
      <c r="E56" s="2">
        <v>2023</v>
      </c>
      <c r="F56" s="2" t="s">
        <v>311</v>
      </c>
      <c r="G56" s="2" t="s">
        <v>3095</v>
      </c>
      <c r="H56" s="2" t="s">
        <v>3092</v>
      </c>
      <c r="I56" s="1" t="s">
        <v>14</v>
      </c>
      <c r="J56" s="1" t="s">
        <v>4401</v>
      </c>
      <c r="K56" s="17"/>
      <c r="L56" s="54" t="s">
        <v>1670</v>
      </c>
      <c r="M56" s="39"/>
      <c r="N56" s="39"/>
      <c r="O56" s="39"/>
      <c r="P56" s="39"/>
      <c r="Q56" s="39"/>
      <c r="R56" s="39"/>
      <c r="S56" s="39"/>
      <c r="T56" s="39"/>
      <c r="U56" s="39"/>
      <c r="V56" s="39">
        <f>45*0.8</f>
        <v>36</v>
      </c>
      <c r="W56" s="92" t="s">
        <v>1680</v>
      </c>
    </row>
    <row r="57" spans="1:24" s="79" customFormat="1" ht="25.5" x14ac:dyDescent="0.2">
      <c r="A57" s="1" t="s">
        <v>86</v>
      </c>
      <c r="B57" s="2" t="s">
        <v>29</v>
      </c>
      <c r="C57" s="2" t="s">
        <v>87</v>
      </c>
      <c r="D57" s="2" t="s">
        <v>88</v>
      </c>
      <c r="E57" s="2">
        <v>2023</v>
      </c>
      <c r="F57" s="2" t="s">
        <v>13</v>
      </c>
      <c r="G57" s="2" t="s">
        <v>3095</v>
      </c>
      <c r="H57" s="2" t="s">
        <v>3092</v>
      </c>
      <c r="I57" s="1" t="s">
        <v>14</v>
      </c>
      <c r="J57" s="1" t="s">
        <v>4402</v>
      </c>
      <c r="K57" s="17"/>
      <c r="L57" s="54">
        <v>0.187</v>
      </c>
      <c r="M57" s="39"/>
      <c r="N57" s="39"/>
      <c r="O57" s="39"/>
      <c r="P57" s="39">
        <v>318.3</v>
      </c>
      <c r="Q57" s="39"/>
      <c r="R57" s="39"/>
      <c r="S57" s="39"/>
      <c r="T57" s="39"/>
      <c r="U57" s="39"/>
      <c r="V57" s="39"/>
      <c r="W57" s="92"/>
    </row>
    <row r="58" spans="1:24" s="79" customFormat="1" ht="25.5" x14ac:dyDescent="0.2">
      <c r="A58" s="1" t="s">
        <v>86</v>
      </c>
      <c r="B58" s="2" t="s">
        <v>29</v>
      </c>
      <c r="C58" s="2" t="s">
        <v>87</v>
      </c>
      <c r="D58" s="2" t="s">
        <v>88</v>
      </c>
      <c r="E58" s="2">
        <v>2023</v>
      </c>
      <c r="F58" s="2" t="s">
        <v>188</v>
      </c>
      <c r="G58" s="2" t="s">
        <v>3095</v>
      </c>
      <c r="H58" s="2" t="s">
        <v>3092</v>
      </c>
      <c r="I58" s="1" t="s">
        <v>14</v>
      </c>
      <c r="J58" s="1" t="s">
        <v>4403</v>
      </c>
      <c r="K58" s="17"/>
      <c r="L58" s="54">
        <v>0.189</v>
      </c>
      <c r="M58" s="39"/>
      <c r="N58" s="39"/>
      <c r="O58" s="39">
        <f>298.4/2</f>
        <v>149.19999999999999</v>
      </c>
      <c r="P58" s="39">
        <f>298.4/2</f>
        <v>149.19999999999999</v>
      </c>
      <c r="Q58" s="39"/>
      <c r="R58" s="39"/>
      <c r="S58" s="39"/>
      <c r="T58" s="39"/>
      <c r="U58" s="39"/>
      <c r="V58" s="39"/>
      <c r="W58" s="92" t="s">
        <v>1749</v>
      </c>
    </row>
    <row r="59" spans="1:24" s="79" customFormat="1" ht="25.5" x14ac:dyDescent="0.2">
      <c r="A59" s="1" t="s">
        <v>86</v>
      </c>
      <c r="B59" s="2" t="s">
        <v>29</v>
      </c>
      <c r="C59" s="2" t="s">
        <v>87</v>
      </c>
      <c r="D59" s="2" t="s">
        <v>88</v>
      </c>
      <c r="E59" s="2">
        <v>2023</v>
      </c>
      <c r="F59" s="2" t="s">
        <v>203</v>
      </c>
      <c r="G59" s="2" t="s">
        <v>3095</v>
      </c>
      <c r="H59" s="2" t="s">
        <v>3092</v>
      </c>
      <c r="I59" s="1" t="s">
        <v>14</v>
      </c>
      <c r="J59" s="1" t="s">
        <v>4404</v>
      </c>
      <c r="K59" s="17"/>
      <c r="L59" s="54">
        <v>0.189</v>
      </c>
      <c r="M59" s="39"/>
      <c r="N59" s="39"/>
      <c r="O59" s="39"/>
      <c r="P59" s="39">
        <v>336.5</v>
      </c>
      <c r="Q59" s="39"/>
      <c r="R59" s="39"/>
      <c r="S59" s="39"/>
      <c r="T59" s="39"/>
      <c r="U59" s="39"/>
      <c r="V59" s="39"/>
      <c r="W59" s="92"/>
    </row>
    <row r="60" spans="1:24" s="79" customFormat="1" ht="25.5" x14ac:dyDescent="0.2">
      <c r="A60" s="1" t="s">
        <v>86</v>
      </c>
      <c r="B60" s="2" t="s">
        <v>29</v>
      </c>
      <c r="C60" s="2" t="s">
        <v>87</v>
      </c>
      <c r="D60" s="2" t="s">
        <v>88</v>
      </c>
      <c r="E60" s="2">
        <v>2023</v>
      </c>
      <c r="F60" s="2" t="s">
        <v>211</v>
      </c>
      <c r="G60" s="2" t="s">
        <v>3095</v>
      </c>
      <c r="H60" s="2" t="s">
        <v>3092</v>
      </c>
      <c r="I60" s="1" t="s">
        <v>14</v>
      </c>
      <c r="J60" s="1" t="s">
        <v>4405</v>
      </c>
      <c r="K60" s="17"/>
      <c r="L60" s="54">
        <v>0.19</v>
      </c>
      <c r="M60" s="39"/>
      <c r="N60" s="39"/>
      <c r="O60" s="39"/>
      <c r="P60" s="39">
        <v>301.8</v>
      </c>
      <c r="Q60" s="39"/>
      <c r="R60" s="39"/>
      <c r="S60" s="39"/>
      <c r="T60" s="39"/>
      <c r="U60" s="39"/>
      <c r="V60" s="39"/>
      <c r="W60" s="92"/>
    </row>
    <row r="61" spans="1:24" s="79" customFormat="1" ht="25.5" x14ac:dyDescent="0.2">
      <c r="A61" s="1" t="s">
        <v>86</v>
      </c>
      <c r="B61" s="2" t="s">
        <v>29</v>
      </c>
      <c r="C61" s="2" t="s">
        <v>87</v>
      </c>
      <c r="D61" s="2" t="s">
        <v>88</v>
      </c>
      <c r="E61" s="2">
        <v>2023</v>
      </c>
      <c r="F61" s="2" t="s">
        <v>221</v>
      </c>
      <c r="G61" s="2" t="s">
        <v>3095</v>
      </c>
      <c r="H61" s="2" t="s">
        <v>3092</v>
      </c>
      <c r="I61" s="1" t="s">
        <v>14</v>
      </c>
      <c r="J61" s="1" t="s">
        <v>4406</v>
      </c>
      <c r="K61" s="17"/>
      <c r="L61" s="54">
        <v>0.19</v>
      </c>
      <c r="M61" s="39"/>
      <c r="N61" s="39"/>
      <c r="O61" s="39">
        <f>323/2</f>
        <v>161.5</v>
      </c>
      <c r="P61" s="39">
        <f>323/2</f>
        <v>161.5</v>
      </c>
      <c r="Q61" s="39"/>
      <c r="R61" s="39"/>
      <c r="S61" s="39"/>
      <c r="T61" s="39"/>
      <c r="U61" s="39"/>
      <c r="V61" s="39"/>
      <c r="W61" s="92" t="s">
        <v>1749</v>
      </c>
    </row>
    <row r="62" spans="1:24" s="79" customFormat="1" ht="51" x14ac:dyDescent="0.2">
      <c r="A62" s="1" t="s">
        <v>86</v>
      </c>
      <c r="B62" s="2" t="s">
        <v>29</v>
      </c>
      <c r="C62" s="2" t="s">
        <v>87</v>
      </c>
      <c r="D62" s="2" t="s">
        <v>88</v>
      </c>
      <c r="E62" s="2">
        <v>2023</v>
      </c>
      <c r="F62" s="2" t="s">
        <v>256</v>
      </c>
      <c r="G62" s="2" t="s">
        <v>3095</v>
      </c>
      <c r="H62" s="2" t="s">
        <v>3092</v>
      </c>
      <c r="I62" s="1" t="s">
        <v>14</v>
      </c>
      <c r="J62" s="1" t="s">
        <v>4407</v>
      </c>
      <c r="K62" s="17"/>
      <c r="L62" s="54">
        <v>0.18099999999999999</v>
      </c>
      <c r="M62" s="39"/>
      <c r="N62" s="39"/>
      <c r="O62" s="39">
        <f>347/2</f>
        <v>173.5</v>
      </c>
      <c r="P62" s="39">
        <f>347/2</f>
        <v>173.5</v>
      </c>
      <c r="Q62" s="39"/>
      <c r="R62" s="39"/>
      <c r="S62" s="39"/>
      <c r="T62" s="39"/>
      <c r="U62" s="39"/>
      <c r="V62" s="39"/>
      <c r="W62" s="92" t="s">
        <v>1749</v>
      </c>
    </row>
    <row r="63" spans="1:24" s="79" customFormat="1" ht="38.25" x14ac:dyDescent="0.2">
      <c r="A63" s="1" t="s">
        <v>86</v>
      </c>
      <c r="B63" s="2" t="s">
        <v>29</v>
      </c>
      <c r="C63" s="2" t="s">
        <v>87</v>
      </c>
      <c r="D63" s="2" t="s">
        <v>88</v>
      </c>
      <c r="E63" s="2">
        <v>2023</v>
      </c>
      <c r="F63" s="2" t="s">
        <v>276</v>
      </c>
      <c r="G63" s="2" t="s">
        <v>3095</v>
      </c>
      <c r="H63" s="2" t="s">
        <v>3092</v>
      </c>
      <c r="I63" s="1" t="s">
        <v>14</v>
      </c>
      <c r="J63" s="1" t="s">
        <v>4408</v>
      </c>
      <c r="K63" s="17"/>
      <c r="L63" s="54">
        <v>0.191</v>
      </c>
      <c r="M63" s="39"/>
      <c r="N63" s="39"/>
      <c r="O63" s="39">
        <f>367/2</f>
        <v>183.5</v>
      </c>
      <c r="P63" s="39">
        <f>367/2</f>
        <v>183.5</v>
      </c>
      <c r="Q63" s="39"/>
      <c r="R63" s="39"/>
      <c r="S63" s="39"/>
      <c r="T63" s="39"/>
      <c r="U63" s="39"/>
      <c r="V63" s="39"/>
      <c r="W63" s="92" t="s">
        <v>1749</v>
      </c>
    </row>
    <row r="64" spans="1:24" s="79" customFormat="1" ht="25.5" x14ac:dyDescent="0.2">
      <c r="A64" s="1" t="s">
        <v>86</v>
      </c>
      <c r="B64" s="2" t="s">
        <v>29</v>
      </c>
      <c r="C64" s="2" t="s">
        <v>87</v>
      </c>
      <c r="D64" s="2" t="s">
        <v>88</v>
      </c>
      <c r="E64" s="2">
        <v>2023</v>
      </c>
      <c r="F64" s="2" t="s">
        <v>291</v>
      </c>
      <c r="G64" s="2" t="s">
        <v>3095</v>
      </c>
      <c r="H64" s="2" t="s">
        <v>3092</v>
      </c>
      <c r="I64" s="1" t="s">
        <v>14</v>
      </c>
      <c r="J64" s="1" t="s">
        <v>4409</v>
      </c>
      <c r="K64" s="17"/>
      <c r="L64" s="54">
        <v>0.188</v>
      </c>
      <c r="M64" s="39"/>
      <c r="N64" s="39"/>
      <c r="O64" s="39">
        <f>332/2</f>
        <v>166</v>
      </c>
      <c r="P64" s="39">
        <f>332/2</f>
        <v>166</v>
      </c>
      <c r="Q64" s="39"/>
      <c r="R64" s="39"/>
      <c r="S64" s="39"/>
      <c r="T64" s="39"/>
      <c r="U64" s="39"/>
      <c r="V64" s="39"/>
      <c r="W64" s="92" t="s">
        <v>1749</v>
      </c>
    </row>
    <row r="65" spans="1:24" s="79" customFormat="1" ht="51" x14ac:dyDescent="0.2">
      <c r="A65" s="1" t="s">
        <v>86</v>
      </c>
      <c r="B65" s="2" t="s">
        <v>29</v>
      </c>
      <c r="C65" s="2" t="s">
        <v>87</v>
      </c>
      <c r="D65" s="2" t="s">
        <v>88</v>
      </c>
      <c r="E65" s="2">
        <v>2023</v>
      </c>
      <c r="F65" s="2" t="s">
        <v>311</v>
      </c>
      <c r="G65" s="2" t="s">
        <v>3095</v>
      </c>
      <c r="H65" s="2" t="s">
        <v>3092</v>
      </c>
      <c r="I65" s="1" t="s">
        <v>14</v>
      </c>
      <c r="J65" s="1" t="s">
        <v>4410</v>
      </c>
      <c r="K65" s="17"/>
      <c r="L65" s="54">
        <v>0.189</v>
      </c>
      <c r="M65" s="39"/>
      <c r="N65" s="39"/>
      <c r="O65" s="39">
        <f>306/2</f>
        <v>153</v>
      </c>
      <c r="P65" s="39">
        <f>306/2</f>
        <v>153</v>
      </c>
      <c r="Q65" s="39"/>
      <c r="R65" s="39"/>
      <c r="S65" s="39"/>
      <c r="T65" s="39"/>
      <c r="U65" s="39"/>
      <c r="V65" s="39"/>
      <c r="W65" s="92"/>
    </row>
    <row r="66" spans="1:24" s="79" customFormat="1" ht="38.25" x14ac:dyDescent="0.2">
      <c r="A66" s="1" t="s">
        <v>86</v>
      </c>
      <c r="B66" s="2" t="s">
        <v>29</v>
      </c>
      <c r="C66" s="2" t="s">
        <v>87</v>
      </c>
      <c r="D66" s="2" t="s">
        <v>88</v>
      </c>
      <c r="E66" s="2">
        <v>2023</v>
      </c>
      <c r="F66" s="2" t="s">
        <v>337</v>
      </c>
      <c r="G66" s="2" t="s">
        <v>3095</v>
      </c>
      <c r="H66" s="2" t="s">
        <v>3092</v>
      </c>
      <c r="I66" s="1" t="s">
        <v>14</v>
      </c>
      <c r="J66" s="1" t="s">
        <v>4411</v>
      </c>
      <c r="K66" s="17"/>
      <c r="L66" s="54">
        <v>0.184</v>
      </c>
      <c r="M66" s="39"/>
      <c r="N66" s="39"/>
      <c r="O66" s="39">
        <v>297.3</v>
      </c>
      <c r="P66" s="39"/>
      <c r="Q66" s="39"/>
      <c r="R66" s="39"/>
      <c r="S66" s="39"/>
      <c r="T66" s="39"/>
      <c r="U66" s="39"/>
      <c r="V66" s="39"/>
      <c r="W66" s="92"/>
    </row>
    <row r="67" spans="1:24" s="79" customFormat="1" ht="38.25" x14ac:dyDescent="0.2">
      <c r="A67" s="1" t="s">
        <v>86</v>
      </c>
      <c r="B67" s="2" t="s">
        <v>29</v>
      </c>
      <c r="C67" s="2" t="s">
        <v>87</v>
      </c>
      <c r="D67" s="2" t="s">
        <v>88</v>
      </c>
      <c r="E67" s="2">
        <v>2023</v>
      </c>
      <c r="F67" s="2" t="s">
        <v>364</v>
      </c>
      <c r="G67" s="2" t="s">
        <v>3095</v>
      </c>
      <c r="H67" s="2" t="s">
        <v>3092</v>
      </c>
      <c r="I67" s="1" t="s">
        <v>14</v>
      </c>
      <c r="J67" s="1" t="s">
        <v>4412</v>
      </c>
      <c r="K67" s="17"/>
      <c r="L67" s="54">
        <v>0.184</v>
      </c>
      <c r="M67" s="39"/>
      <c r="N67" s="39"/>
      <c r="O67" s="39">
        <f>279.7/2</f>
        <v>139.85</v>
      </c>
      <c r="P67" s="39">
        <f>279.7/2</f>
        <v>139.85</v>
      </c>
      <c r="Q67" s="39"/>
      <c r="R67" s="39"/>
      <c r="S67" s="39"/>
      <c r="T67" s="39"/>
      <c r="U67" s="39"/>
      <c r="V67" s="39"/>
      <c r="W67" s="92" t="s">
        <v>1749</v>
      </c>
    </row>
    <row r="68" spans="1:24" s="79" customFormat="1" ht="25.5" x14ac:dyDescent="0.2">
      <c r="A68" s="1" t="s">
        <v>86</v>
      </c>
      <c r="B68" s="2" t="s">
        <v>29</v>
      </c>
      <c r="C68" s="2" t="s">
        <v>87</v>
      </c>
      <c r="D68" s="2" t="s">
        <v>88</v>
      </c>
      <c r="E68" s="2">
        <v>2023</v>
      </c>
      <c r="F68" s="2" t="s">
        <v>388</v>
      </c>
      <c r="G68" s="2" t="s">
        <v>3095</v>
      </c>
      <c r="H68" s="2" t="s">
        <v>3092</v>
      </c>
      <c r="I68" s="1" t="s">
        <v>14</v>
      </c>
      <c r="J68" s="1" t="s">
        <v>4413</v>
      </c>
      <c r="K68" s="17"/>
      <c r="L68" s="58">
        <v>0.188</v>
      </c>
      <c r="M68" s="59"/>
      <c r="N68" s="59"/>
      <c r="O68" s="59"/>
      <c r="P68" s="59">
        <v>318.8</v>
      </c>
      <c r="Q68" s="59"/>
      <c r="R68" s="59"/>
      <c r="S68" s="59"/>
      <c r="T68" s="59"/>
      <c r="U68" s="59"/>
      <c r="V68" s="59"/>
      <c r="W68" s="93"/>
      <c r="X68"/>
    </row>
    <row r="69" spans="1:24" s="79" customFormat="1" ht="25.5" x14ac:dyDescent="0.2">
      <c r="A69" s="1" t="s">
        <v>190</v>
      </c>
      <c r="B69" s="2" t="s">
        <v>10</v>
      </c>
      <c r="C69" s="2" t="s">
        <v>191</v>
      </c>
      <c r="D69" s="2" t="s">
        <v>192</v>
      </c>
      <c r="E69" s="2">
        <v>2023</v>
      </c>
      <c r="F69" s="2" t="s">
        <v>13</v>
      </c>
      <c r="G69" s="2" t="s">
        <v>3095</v>
      </c>
      <c r="H69" s="2" t="s">
        <v>3092</v>
      </c>
      <c r="I69" s="1" t="s">
        <v>14</v>
      </c>
      <c r="J69" s="1" t="s">
        <v>4414</v>
      </c>
      <c r="K69" s="17"/>
      <c r="L69" s="53"/>
      <c r="M69" s="39"/>
      <c r="N69" s="39"/>
      <c r="O69" s="39"/>
      <c r="P69" s="39"/>
      <c r="Q69" s="39"/>
      <c r="R69" s="39"/>
      <c r="S69" s="39"/>
      <c r="T69" s="39"/>
      <c r="U69" s="39"/>
      <c r="V69" s="39"/>
      <c r="W69" s="92" t="s">
        <v>1735</v>
      </c>
    </row>
    <row r="70" spans="1:24" s="79" customFormat="1" ht="25.5" x14ac:dyDescent="0.2">
      <c r="A70" s="1" t="s">
        <v>190</v>
      </c>
      <c r="B70" s="2" t="s">
        <v>10</v>
      </c>
      <c r="C70" s="2" t="s">
        <v>191</v>
      </c>
      <c r="D70" s="2" t="s">
        <v>192</v>
      </c>
      <c r="E70" s="2">
        <v>2023</v>
      </c>
      <c r="F70" s="2" t="s">
        <v>188</v>
      </c>
      <c r="G70" s="2" t="s">
        <v>3095</v>
      </c>
      <c r="H70" s="2" t="s">
        <v>3092</v>
      </c>
      <c r="I70" s="1" t="s">
        <v>14</v>
      </c>
      <c r="J70" s="1" t="s">
        <v>890</v>
      </c>
      <c r="K70" s="17"/>
      <c r="L70" s="54"/>
      <c r="M70" s="39"/>
      <c r="N70" s="39"/>
      <c r="O70" s="39"/>
      <c r="P70" s="39"/>
      <c r="Q70" s="39"/>
      <c r="R70" s="39"/>
      <c r="S70" s="39"/>
      <c r="T70" s="39"/>
      <c r="U70" s="39"/>
      <c r="V70" s="39"/>
      <c r="W70" s="92" t="s">
        <v>1735</v>
      </c>
    </row>
    <row r="71" spans="1:24" s="79" customFormat="1" ht="25.5" x14ac:dyDescent="0.2">
      <c r="A71" s="1" t="s">
        <v>190</v>
      </c>
      <c r="B71" s="2" t="s">
        <v>10</v>
      </c>
      <c r="C71" s="2" t="s">
        <v>191</v>
      </c>
      <c r="D71" s="2" t="s">
        <v>192</v>
      </c>
      <c r="E71" s="2">
        <v>2023</v>
      </c>
      <c r="F71" s="2" t="s">
        <v>203</v>
      </c>
      <c r="G71" s="2" t="s">
        <v>3095</v>
      </c>
      <c r="H71" s="2" t="s">
        <v>3092</v>
      </c>
      <c r="I71" s="1" t="s">
        <v>14</v>
      </c>
      <c r="J71" s="1" t="s">
        <v>890</v>
      </c>
      <c r="K71" s="17"/>
      <c r="L71" s="54"/>
      <c r="M71" s="15"/>
      <c r="N71" s="15"/>
      <c r="O71" s="15"/>
      <c r="P71" s="15"/>
      <c r="Q71" s="15"/>
      <c r="R71" s="15"/>
      <c r="S71" s="15"/>
      <c r="T71" s="15"/>
      <c r="U71" s="15"/>
      <c r="V71" s="15"/>
      <c r="W71" s="92" t="s">
        <v>1735</v>
      </c>
    </row>
    <row r="72" spans="1:24" s="79" customFormat="1" ht="25.5" x14ac:dyDescent="0.2">
      <c r="A72" s="1" t="s">
        <v>190</v>
      </c>
      <c r="B72" s="2" t="s">
        <v>10</v>
      </c>
      <c r="C72" s="2" t="s">
        <v>191</v>
      </c>
      <c r="D72" s="2" t="s">
        <v>192</v>
      </c>
      <c r="E72" s="2">
        <v>2023</v>
      </c>
      <c r="F72" s="2" t="s">
        <v>211</v>
      </c>
      <c r="G72" s="2" t="s">
        <v>3095</v>
      </c>
      <c r="H72" s="2" t="s">
        <v>3092</v>
      </c>
      <c r="I72" s="1" t="s">
        <v>14</v>
      </c>
      <c r="J72" s="1" t="s">
        <v>890</v>
      </c>
      <c r="K72" s="17"/>
      <c r="L72" s="54"/>
      <c r="M72" s="39"/>
      <c r="N72" s="39"/>
      <c r="O72" s="39"/>
      <c r="P72" s="39"/>
      <c r="Q72" s="39"/>
      <c r="R72" s="39"/>
      <c r="S72" s="39"/>
      <c r="T72" s="39"/>
      <c r="U72" s="39"/>
      <c r="V72" s="39"/>
      <c r="W72" s="92" t="s">
        <v>1735</v>
      </c>
    </row>
    <row r="73" spans="1:24" s="79" customFormat="1" ht="25.5" x14ac:dyDescent="0.2">
      <c r="A73" s="1" t="s">
        <v>190</v>
      </c>
      <c r="B73" s="2" t="s">
        <v>10</v>
      </c>
      <c r="C73" s="2" t="s">
        <v>191</v>
      </c>
      <c r="D73" s="2" t="s">
        <v>192</v>
      </c>
      <c r="E73" s="2">
        <v>2023</v>
      </c>
      <c r="F73" s="2" t="s">
        <v>221</v>
      </c>
      <c r="G73" s="2" t="s">
        <v>3095</v>
      </c>
      <c r="H73" s="2" t="s">
        <v>3092</v>
      </c>
      <c r="I73" s="1" t="s">
        <v>14</v>
      </c>
      <c r="J73" s="1" t="s">
        <v>4414</v>
      </c>
      <c r="K73" s="17"/>
      <c r="L73" s="54"/>
      <c r="M73" s="39"/>
      <c r="N73" s="39"/>
      <c r="O73" s="39"/>
      <c r="P73" s="39"/>
      <c r="Q73" s="39"/>
      <c r="R73" s="39"/>
      <c r="S73" s="39"/>
      <c r="T73" s="39"/>
      <c r="U73" s="39"/>
      <c r="V73" s="39"/>
      <c r="W73" s="92" t="s">
        <v>1735</v>
      </c>
    </row>
    <row r="74" spans="1:24" s="79" customFormat="1" ht="25.5" x14ac:dyDescent="0.2">
      <c r="A74" s="1" t="s">
        <v>190</v>
      </c>
      <c r="B74" s="2" t="s">
        <v>10</v>
      </c>
      <c r="C74" s="2" t="s">
        <v>191</v>
      </c>
      <c r="D74" s="2" t="s">
        <v>192</v>
      </c>
      <c r="E74" s="2">
        <v>2023</v>
      </c>
      <c r="F74" s="2" t="s">
        <v>256</v>
      </c>
      <c r="G74" s="2" t="s">
        <v>3095</v>
      </c>
      <c r="H74" s="2" t="s">
        <v>3092</v>
      </c>
      <c r="I74" s="1" t="s">
        <v>14</v>
      </c>
      <c r="J74" s="1" t="s">
        <v>890</v>
      </c>
      <c r="K74" s="17"/>
      <c r="L74" s="54"/>
      <c r="M74" s="39"/>
      <c r="N74" s="39"/>
      <c r="O74" s="39"/>
      <c r="P74" s="39"/>
      <c r="Q74" s="39"/>
      <c r="R74" s="39"/>
      <c r="S74" s="39"/>
      <c r="T74" s="39"/>
      <c r="U74" s="39"/>
      <c r="V74" s="39"/>
      <c r="W74" s="92" t="s">
        <v>1735</v>
      </c>
    </row>
    <row r="75" spans="1:24" s="79" customFormat="1" ht="25.5" x14ac:dyDescent="0.2">
      <c r="A75" s="1" t="s">
        <v>190</v>
      </c>
      <c r="B75" s="2" t="s">
        <v>10</v>
      </c>
      <c r="C75" s="2" t="s">
        <v>191</v>
      </c>
      <c r="D75" s="2" t="s">
        <v>192</v>
      </c>
      <c r="E75" s="2">
        <v>2023</v>
      </c>
      <c r="F75" s="2" t="s">
        <v>276</v>
      </c>
      <c r="G75" s="2" t="s">
        <v>3095</v>
      </c>
      <c r="H75" s="2" t="s">
        <v>3092</v>
      </c>
      <c r="I75" s="1" t="s">
        <v>14</v>
      </c>
      <c r="J75" s="1" t="s">
        <v>478</v>
      </c>
      <c r="K75" s="17"/>
      <c r="L75" s="54"/>
      <c r="M75" s="39"/>
      <c r="N75" s="39"/>
      <c r="O75" s="39"/>
      <c r="P75" s="39"/>
      <c r="Q75" s="39"/>
      <c r="R75" s="39"/>
      <c r="S75" s="39"/>
      <c r="T75" s="39"/>
      <c r="U75" s="39"/>
      <c r="V75" s="39"/>
      <c r="W75" s="92" t="s">
        <v>1735</v>
      </c>
    </row>
    <row r="76" spans="1:24" s="79" customFormat="1" ht="25.5" x14ac:dyDescent="0.2">
      <c r="A76" s="1" t="s">
        <v>190</v>
      </c>
      <c r="B76" s="2" t="s">
        <v>10</v>
      </c>
      <c r="C76" s="2" t="s">
        <v>191</v>
      </c>
      <c r="D76" s="2" t="s">
        <v>192</v>
      </c>
      <c r="E76" s="2">
        <v>2023</v>
      </c>
      <c r="F76" s="2" t="s">
        <v>291</v>
      </c>
      <c r="G76" s="2" t="s">
        <v>3095</v>
      </c>
      <c r="H76" s="2" t="s">
        <v>3092</v>
      </c>
      <c r="I76" s="1" t="s">
        <v>14</v>
      </c>
      <c r="J76" s="1" t="s">
        <v>890</v>
      </c>
      <c r="K76" s="17"/>
      <c r="L76" s="54"/>
      <c r="M76" s="39"/>
      <c r="N76" s="39"/>
      <c r="O76" s="39"/>
      <c r="P76" s="39"/>
      <c r="Q76" s="39"/>
      <c r="R76" s="39"/>
      <c r="S76" s="39"/>
      <c r="T76" s="39"/>
      <c r="U76" s="39"/>
      <c r="V76" s="39"/>
      <c r="W76" s="92" t="s">
        <v>1735</v>
      </c>
    </row>
    <row r="77" spans="1:24" s="79" customFormat="1" ht="25.5" x14ac:dyDescent="0.2">
      <c r="A77" s="1" t="s">
        <v>190</v>
      </c>
      <c r="B77" s="2" t="s">
        <v>10</v>
      </c>
      <c r="C77" s="2" t="s">
        <v>191</v>
      </c>
      <c r="D77" s="2" t="s">
        <v>192</v>
      </c>
      <c r="E77" s="2">
        <v>2023</v>
      </c>
      <c r="F77" s="2" t="s">
        <v>311</v>
      </c>
      <c r="G77" s="2" t="s">
        <v>3095</v>
      </c>
      <c r="H77" s="2" t="s">
        <v>3092</v>
      </c>
      <c r="I77" s="1" t="s">
        <v>14</v>
      </c>
      <c r="J77" s="1" t="s">
        <v>890</v>
      </c>
      <c r="K77" s="17"/>
      <c r="L77" s="54"/>
      <c r="M77" s="39"/>
      <c r="N77" s="39"/>
      <c r="O77" s="39"/>
      <c r="P77" s="39"/>
      <c r="Q77" s="39"/>
      <c r="R77" s="39"/>
      <c r="S77" s="39"/>
      <c r="T77" s="39"/>
      <c r="U77" s="39"/>
      <c r="V77" s="39"/>
      <c r="W77" s="92" t="s">
        <v>1735</v>
      </c>
    </row>
    <row r="78" spans="1:24" s="79" customFormat="1" ht="25.5" x14ac:dyDescent="0.2">
      <c r="A78" s="1" t="s">
        <v>190</v>
      </c>
      <c r="B78" s="2" t="s">
        <v>10</v>
      </c>
      <c r="C78" s="2" t="s">
        <v>191</v>
      </c>
      <c r="D78" s="2" t="s">
        <v>192</v>
      </c>
      <c r="E78" s="2">
        <v>2023</v>
      </c>
      <c r="F78" s="2" t="s">
        <v>337</v>
      </c>
      <c r="G78" s="2" t="s">
        <v>3095</v>
      </c>
      <c r="H78" s="2" t="s">
        <v>3092</v>
      </c>
      <c r="I78" s="1" t="s">
        <v>14</v>
      </c>
      <c r="J78" s="1" t="s">
        <v>890</v>
      </c>
      <c r="K78" s="17"/>
      <c r="L78" s="54"/>
      <c r="M78" s="39"/>
      <c r="N78" s="39"/>
      <c r="O78" s="39"/>
      <c r="P78" s="39"/>
      <c r="Q78" s="39"/>
      <c r="R78" s="39"/>
      <c r="S78" s="39"/>
      <c r="T78" s="39"/>
      <c r="U78" s="39"/>
      <c r="V78" s="39"/>
      <c r="W78" s="92" t="s">
        <v>1735</v>
      </c>
    </row>
    <row r="79" spans="1:24" s="79" customFormat="1" ht="25.5" x14ac:dyDescent="0.2">
      <c r="A79" s="1" t="s">
        <v>190</v>
      </c>
      <c r="B79" s="2" t="s">
        <v>10</v>
      </c>
      <c r="C79" s="2" t="s">
        <v>191</v>
      </c>
      <c r="D79" s="2" t="s">
        <v>192</v>
      </c>
      <c r="E79" s="2">
        <v>2023</v>
      </c>
      <c r="F79" s="2" t="s">
        <v>364</v>
      </c>
      <c r="G79" s="2" t="s">
        <v>3095</v>
      </c>
      <c r="H79" s="2" t="s">
        <v>3092</v>
      </c>
      <c r="I79" s="1" t="s">
        <v>14</v>
      </c>
      <c r="J79" s="1" t="s">
        <v>890</v>
      </c>
      <c r="K79" s="17"/>
      <c r="L79" s="54"/>
      <c r="M79" s="39"/>
      <c r="N79" s="39"/>
      <c r="O79" s="39"/>
      <c r="P79" s="39"/>
      <c r="Q79" s="39"/>
      <c r="R79" s="39"/>
      <c r="S79" s="39"/>
      <c r="T79" s="39"/>
      <c r="U79" s="39"/>
      <c r="V79" s="39"/>
      <c r="W79" s="92" t="s">
        <v>1735</v>
      </c>
    </row>
    <row r="80" spans="1:24" s="79" customFormat="1" ht="25.5" x14ac:dyDescent="0.2">
      <c r="A80" s="1" t="s">
        <v>190</v>
      </c>
      <c r="B80" s="2" t="s">
        <v>10</v>
      </c>
      <c r="C80" s="2" t="s">
        <v>191</v>
      </c>
      <c r="D80" s="2" t="s">
        <v>192</v>
      </c>
      <c r="E80" s="2">
        <v>2023</v>
      </c>
      <c r="F80" s="2" t="s">
        <v>388</v>
      </c>
      <c r="G80" s="2" t="s">
        <v>3095</v>
      </c>
      <c r="H80" s="2" t="s">
        <v>3092</v>
      </c>
      <c r="I80" s="1" t="s">
        <v>14</v>
      </c>
      <c r="J80" s="1" t="s">
        <v>890</v>
      </c>
      <c r="K80" s="17"/>
      <c r="L80" s="54"/>
      <c r="M80" s="39"/>
      <c r="N80" s="39"/>
      <c r="O80" s="39"/>
      <c r="P80" s="39"/>
      <c r="Q80" s="39"/>
      <c r="R80" s="39"/>
      <c r="S80" s="39"/>
      <c r="T80" s="39"/>
      <c r="U80" s="39"/>
      <c r="V80" s="39"/>
      <c r="W80" s="92" t="s">
        <v>1735</v>
      </c>
    </row>
    <row r="81" spans="1:23" s="79" customFormat="1" ht="25.5" x14ac:dyDescent="0.2">
      <c r="A81" s="1" t="s">
        <v>4415</v>
      </c>
      <c r="B81" s="2" t="s">
        <v>196</v>
      </c>
      <c r="C81" s="2" t="s">
        <v>4416</v>
      </c>
      <c r="D81" s="2" t="s">
        <v>226</v>
      </c>
      <c r="E81" s="2">
        <v>2023</v>
      </c>
      <c r="F81" s="2" t="s">
        <v>221</v>
      </c>
      <c r="G81" s="2" t="s">
        <v>3092</v>
      </c>
      <c r="H81" s="2" t="s">
        <v>3093</v>
      </c>
      <c r="I81" s="1" t="s">
        <v>4417</v>
      </c>
      <c r="J81" s="1" t="s">
        <v>14</v>
      </c>
      <c r="K81" s="17"/>
      <c r="L81" s="54"/>
      <c r="M81" s="39"/>
      <c r="N81" s="39"/>
      <c r="O81" s="39"/>
      <c r="P81" s="39"/>
      <c r="Q81" s="39"/>
      <c r="R81" s="39"/>
      <c r="S81" s="39"/>
      <c r="T81" s="39"/>
      <c r="U81" s="39"/>
      <c r="V81" s="39"/>
      <c r="W81" s="92" t="s">
        <v>1695</v>
      </c>
    </row>
    <row r="82" spans="1:23" s="79" customFormat="1" ht="38.25" x14ac:dyDescent="0.2">
      <c r="A82" s="1" t="s">
        <v>4415</v>
      </c>
      <c r="B82" s="2" t="s">
        <v>196</v>
      </c>
      <c r="C82" s="2" t="s">
        <v>4416</v>
      </c>
      <c r="D82" s="2" t="s">
        <v>226</v>
      </c>
      <c r="E82" s="2">
        <v>2023</v>
      </c>
      <c r="F82" s="2" t="s">
        <v>256</v>
      </c>
      <c r="G82" s="2" t="s">
        <v>3092</v>
      </c>
      <c r="H82" s="2" t="s">
        <v>3093</v>
      </c>
      <c r="I82" s="1" t="s">
        <v>4418</v>
      </c>
      <c r="J82" s="1" t="s">
        <v>14</v>
      </c>
      <c r="K82" s="17"/>
      <c r="L82" s="54"/>
      <c r="M82" s="39"/>
      <c r="N82" s="39"/>
      <c r="O82" s="39"/>
      <c r="P82" s="39"/>
      <c r="Q82" s="39"/>
      <c r="R82" s="39"/>
      <c r="S82" s="39"/>
      <c r="T82" s="39"/>
      <c r="U82" s="39"/>
      <c r="V82" s="39"/>
      <c r="W82" s="92" t="s">
        <v>1695</v>
      </c>
    </row>
    <row r="83" spans="1:23" s="79" customFormat="1" ht="25.5" x14ac:dyDescent="0.2">
      <c r="A83" s="1" t="s">
        <v>4415</v>
      </c>
      <c r="B83" s="2" t="s">
        <v>196</v>
      </c>
      <c r="C83" s="2" t="s">
        <v>4416</v>
      </c>
      <c r="D83" s="2" t="s">
        <v>226</v>
      </c>
      <c r="E83" s="2">
        <v>2023</v>
      </c>
      <c r="F83" s="2" t="s">
        <v>276</v>
      </c>
      <c r="G83" s="2" t="s">
        <v>3092</v>
      </c>
      <c r="H83" s="2" t="s">
        <v>3093</v>
      </c>
      <c r="I83" s="1" t="s">
        <v>4419</v>
      </c>
      <c r="J83" s="1" t="s">
        <v>14</v>
      </c>
      <c r="K83" s="17"/>
      <c r="L83" s="54"/>
      <c r="M83" s="39"/>
      <c r="N83" s="39"/>
      <c r="O83" s="39"/>
      <c r="P83" s="39"/>
      <c r="Q83" s="39"/>
      <c r="R83" s="39"/>
      <c r="S83" s="39"/>
      <c r="T83" s="39"/>
      <c r="U83" s="39"/>
      <c r="V83" s="39"/>
      <c r="W83" s="92" t="s">
        <v>1695</v>
      </c>
    </row>
    <row r="84" spans="1:23" s="79" customFormat="1" ht="25.5" x14ac:dyDescent="0.2">
      <c r="A84" s="1" t="s">
        <v>4415</v>
      </c>
      <c r="B84" s="2" t="s">
        <v>196</v>
      </c>
      <c r="C84" s="2" t="s">
        <v>4416</v>
      </c>
      <c r="D84" s="2" t="s">
        <v>226</v>
      </c>
      <c r="E84" s="2">
        <v>2023</v>
      </c>
      <c r="F84" s="2" t="s">
        <v>291</v>
      </c>
      <c r="G84" s="2" t="s">
        <v>3092</v>
      </c>
      <c r="H84" s="2" t="s">
        <v>3093</v>
      </c>
      <c r="I84" s="1" t="s">
        <v>4420</v>
      </c>
      <c r="J84" s="1" t="s">
        <v>14</v>
      </c>
      <c r="K84" s="17"/>
      <c r="L84" s="54"/>
      <c r="M84" s="3"/>
      <c r="N84" s="39"/>
      <c r="O84" s="39"/>
      <c r="P84" s="39"/>
      <c r="Q84" s="39"/>
      <c r="R84" s="39"/>
      <c r="S84" s="39"/>
      <c r="T84" s="39"/>
      <c r="U84" s="39"/>
      <c r="V84" s="3"/>
      <c r="W84" s="92" t="s">
        <v>1695</v>
      </c>
    </row>
    <row r="85" spans="1:23" s="79" customFormat="1" ht="25.5" x14ac:dyDescent="0.2">
      <c r="A85" s="1" t="s">
        <v>4415</v>
      </c>
      <c r="B85" s="2" t="s">
        <v>196</v>
      </c>
      <c r="C85" s="2" t="s">
        <v>4416</v>
      </c>
      <c r="D85" s="2" t="s">
        <v>226</v>
      </c>
      <c r="E85" s="2">
        <v>2023</v>
      </c>
      <c r="F85" s="2" t="s">
        <v>311</v>
      </c>
      <c r="G85" s="2" t="s">
        <v>3092</v>
      </c>
      <c r="H85" s="2" t="s">
        <v>3093</v>
      </c>
      <c r="I85" s="1" t="s">
        <v>4421</v>
      </c>
      <c r="J85" s="1" t="s">
        <v>14</v>
      </c>
      <c r="K85" s="17"/>
      <c r="L85" s="54"/>
      <c r="M85" s="39"/>
      <c r="N85" s="39"/>
      <c r="O85" s="39"/>
      <c r="P85" s="39"/>
      <c r="Q85" s="39"/>
      <c r="R85" s="39"/>
      <c r="S85" s="39"/>
      <c r="T85" s="39"/>
      <c r="U85" s="39"/>
      <c r="V85" s="39"/>
      <c r="W85" s="92" t="s">
        <v>1695</v>
      </c>
    </row>
    <row r="86" spans="1:23" s="79" customFormat="1" ht="25.5" x14ac:dyDescent="0.2">
      <c r="A86" s="1" t="s">
        <v>4415</v>
      </c>
      <c r="B86" s="2" t="s">
        <v>196</v>
      </c>
      <c r="C86" s="2" t="s">
        <v>4416</v>
      </c>
      <c r="D86" s="2" t="s">
        <v>226</v>
      </c>
      <c r="E86" s="2">
        <v>2023</v>
      </c>
      <c r="F86" s="2" t="s">
        <v>337</v>
      </c>
      <c r="G86" s="2" t="s">
        <v>3092</v>
      </c>
      <c r="H86" s="2" t="s">
        <v>3093</v>
      </c>
      <c r="I86" s="1" t="s">
        <v>4422</v>
      </c>
      <c r="J86" s="1" t="s">
        <v>14</v>
      </c>
      <c r="K86" s="17"/>
      <c r="L86" s="80"/>
      <c r="M86" s="15"/>
      <c r="N86" s="15"/>
      <c r="O86" s="15"/>
      <c r="P86" s="15"/>
      <c r="Q86" s="15"/>
      <c r="R86" s="15"/>
      <c r="S86" s="15"/>
      <c r="T86" s="15"/>
      <c r="U86" s="15"/>
      <c r="V86" s="15"/>
      <c r="W86" s="92" t="s">
        <v>1695</v>
      </c>
    </row>
    <row r="87" spans="1:23" s="79" customFormat="1" ht="51" x14ac:dyDescent="0.2">
      <c r="A87" s="1" t="s">
        <v>464</v>
      </c>
      <c r="B87" s="2" t="s">
        <v>196</v>
      </c>
      <c r="C87" s="2" t="s">
        <v>324</v>
      </c>
      <c r="D87" s="2" t="s">
        <v>325</v>
      </c>
      <c r="E87" s="2">
        <v>2023</v>
      </c>
      <c r="F87" s="2" t="s">
        <v>337</v>
      </c>
      <c r="G87" s="2" t="s">
        <v>3092</v>
      </c>
      <c r="H87" s="2" t="s">
        <v>3093</v>
      </c>
      <c r="I87" s="1" t="s">
        <v>4423</v>
      </c>
      <c r="J87" s="1" t="s">
        <v>14</v>
      </c>
      <c r="K87" s="17"/>
      <c r="L87" s="54"/>
      <c r="M87" s="39"/>
      <c r="N87" s="39"/>
      <c r="O87" s="39"/>
      <c r="P87" s="39"/>
      <c r="Q87" s="39"/>
      <c r="R87" s="39"/>
      <c r="S87" s="39"/>
      <c r="T87" s="39"/>
      <c r="U87" s="39"/>
      <c r="V87" s="39"/>
      <c r="W87" s="92" t="s">
        <v>1695</v>
      </c>
    </row>
    <row r="88" spans="1:23" s="79" customFormat="1" ht="38.25" x14ac:dyDescent="0.2">
      <c r="A88" s="1" t="s">
        <v>1892</v>
      </c>
      <c r="B88" s="2" t="s">
        <v>196</v>
      </c>
      <c r="C88" s="2" t="s">
        <v>1893</v>
      </c>
      <c r="D88" s="2" t="s">
        <v>305</v>
      </c>
      <c r="E88" s="2">
        <v>2023</v>
      </c>
      <c r="F88" s="2" t="s">
        <v>337</v>
      </c>
      <c r="G88" s="2" t="s">
        <v>3093</v>
      </c>
      <c r="H88" s="2" t="s">
        <v>3092</v>
      </c>
      <c r="I88" s="1" t="s">
        <v>14</v>
      </c>
      <c r="J88" s="1" t="s">
        <v>4424</v>
      </c>
      <c r="K88" s="17"/>
      <c r="L88" s="54" t="s">
        <v>1670</v>
      </c>
      <c r="M88" s="39"/>
      <c r="N88" s="39"/>
      <c r="O88" s="39" t="s">
        <v>1670</v>
      </c>
      <c r="P88" s="39"/>
      <c r="Q88" s="39"/>
      <c r="R88" s="39"/>
      <c r="S88" s="39"/>
      <c r="T88" s="39"/>
      <c r="U88" s="39"/>
      <c r="V88" s="39"/>
      <c r="W88" s="92" t="s">
        <v>1896</v>
      </c>
    </row>
    <row r="89" spans="1:23" s="79" customFormat="1" ht="25.5" x14ac:dyDescent="0.2">
      <c r="A89" s="1" t="s">
        <v>397</v>
      </c>
      <c r="B89" s="2" t="s">
        <v>10</v>
      </c>
      <c r="C89" s="2" t="s">
        <v>398</v>
      </c>
      <c r="D89" s="2" t="s">
        <v>399</v>
      </c>
      <c r="E89" s="2">
        <v>2023</v>
      </c>
      <c r="F89" s="2" t="s">
        <v>211</v>
      </c>
      <c r="G89" s="2" t="s">
        <v>3095</v>
      </c>
      <c r="H89" s="2" t="s">
        <v>3092</v>
      </c>
      <c r="I89" s="1" t="s">
        <v>14</v>
      </c>
      <c r="J89" s="1" t="s">
        <v>4425</v>
      </c>
      <c r="K89" s="17"/>
      <c r="L89" s="54"/>
      <c r="M89" s="39"/>
      <c r="N89" s="39"/>
      <c r="O89" s="39"/>
      <c r="P89" s="39"/>
      <c r="Q89" s="39"/>
      <c r="R89" s="39"/>
      <c r="S89" s="39"/>
      <c r="T89" s="39"/>
      <c r="U89" s="39"/>
      <c r="V89" s="39"/>
      <c r="W89" s="92" t="s">
        <v>1735</v>
      </c>
    </row>
    <row r="90" spans="1:23" s="79" customFormat="1" ht="25.5" x14ac:dyDescent="0.2">
      <c r="A90" s="1" t="s">
        <v>397</v>
      </c>
      <c r="B90" s="2" t="s">
        <v>10</v>
      </c>
      <c r="C90" s="2" t="s">
        <v>398</v>
      </c>
      <c r="D90" s="2" t="s">
        <v>399</v>
      </c>
      <c r="E90" s="2">
        <v>2023</v>
      </c>
      <c r="F90" s="2" t="s">
        <v>291</v>
      </c>
      <c r="G90" s="2" t="s">
        <v>3095</v>
      </c>
      <c r="H90" s="2" t="s">
        <v>3092</v>
      </c>
      <c r="I90" s="1" t="s">
        <v>14</v>
      </c>
      <c r="J90" s="1" t="s">
        <v>4426</v>
      </c>
      <c r="K90" s="17"/>
      <c r="L90" s="54"/>
      <c r="M90" s="3"/>
      <c r="N90" s="39"/>
      <c r="O90" s="39"/>
      <c r="P90" s="39"/>
      <c r="Q90" s="39"/>
      <c r="R90" s="39"/>
      <c r="S90" s="39"/>
      <c r="T90" s="39"/>
      <c r="U90" s="39"/>
      <c r="V90" s="3"/>
      <c r="W90" s="92" t="s">
        <v>1735</v>
      </c>
    </row>
    <row r="91" spans="1:23" s="79" customFormat="1" ht="25.5" x14ac:dyDescent="0.2">
      <c r="A91" s="1" t="s">
        <v>1917</v>
      </c>
      <c r="B91" s="2" t="s">
        <v>32</v>
      </c>
      <c r="C91" s="2" t="s">
        <v>1918</v>
      </c>
      <c r="D91" s="2" t="s">
        <v>246</v>
      </c>
      <c r="E91" s="2">
        <v>2023</v>
      </c>
      <c r="F91" s="2" t="s">
        <v>221</v>
      </c>
      <c r="G91" s="2" t="s">
        <v>3095</v>
      </c>
      <c r="H91" s="2" t="s">
        <v>3092</v>
      </c>
      <c r="I91" s="1" t="s">
        <v>14</v>
      </c>
      <c r="J91" s="1" t="s">
        <v>4427</v>
      </c>
      <c r="K91" s="17"/>
      <c r="L91" s="54" t="s">
        <v>1670</v>
      </c>
      <c r="M91" s="39">
        <v>45</v>
      </c>
      <c r="N91" s="39"/>
      <c r="O91" s="39"/>
      <c r="P91" s="39"/>
      <c r="Q91" s="39"/>
      <c r="R91" s="39"/>
      <c r="S91" s="39"/>
      <c r="T91" s="39"/>
      <c r="U91" s="39"/>
      <c r="V91" s="39"/>
      <c r="W91" s="92" t="s">
        <v>1699</v>
      </c>
    </row>
    <row r="92" spans="1:23" s="79" customFormat="1" ht="63.75" x14ac:dyDescent="0.2">
      <c r="A92" s="1" t="s">
        <v>1917</v>
      </c>
      <c r="B92" s="2" t="s">
        <v>32</v>
      </c>
      <c r="C92" s="2" t="s">
        <v>1918</v>
      </c>
      <c r="D92" s="2" t="s">
        <v>246</v>
      </c>
      <c r="E92" s="2">
        <v>2023</v>
      </c>
      <c r="F92" s="2" t="s">
        <v>364</v>
      </c>
      <c r="G92" s="2" t="s">
        <v>3095</v>
      </c>
      <c r="H92" s="2" t="s">
        <v>3092</v>
      </c>
      <c r="I92" s="1" t="s">
        <v>14</v>
      </c>
      <c r="J92" s="1" t="s">
        <v>4428</v>
      </c>
      <c r="K92" s="17"/>
      <c r="L92" s="54"/>
      <c r="M92" s="39"/>
      <c r="N92" s="39"/>
      <c r="O92" s="39"/>
      <c r="P92" s="39"/>
      <c r="Q92" s="39"/>
      <c r="R92" s="39"/>
      <c r="S92" s="39"/>
      <c r="T92" s="39"/>
      <c r="U92" s="39"/>
      <c r="V92" s="39"/>
      <c r="W92" s="92" t="s">
        <v>4429</v>
      </c>
    </row>
    <row r="93" spans="1:23" s="79" customFormat="1" ht="63.75" x14ac:dyDescent="0.2">
      <c r="A93" s="1" t="s">
        <v>178</v>
      </c>
      <c r="B93" s="2" t="s">
        <v>38</v>
      </c>
      <c r="C93" s="2" t="s">
        <v>179</v>
      </c>
      <c r="D93" s="2" t="s">
        <v>173</v>
      </c>
      <c r="E93" s="2">
        <v>2023</v>
      </c>
      <c r="F93" s="2" t="s">
        <v>13</v>
      </c>
      <c r="G93" s="2" t="s">
        <v>3095</v>
      </c>
      <c r="H93" s="2" t="s">
        <v>3092</v>
      </c>
      <c r="I93" s="1" t="s">
        <v>14</v>
      </c>
      <c r="J93" s="1" t="s">
        <v>4430</v>
      </c>
      <c r="K93" s="17"/>
      <c r="L93" s="80"/>
      <c r="M93" s="15"/>
      <c r="N93" s="15"/>
      <c r="O93" s="15"/>
      <c r="P93" s="15"/>
      <c r="Q93" s="15"/>
      <c r="R93" s="15"/>
      <c r="S93" s="15"/>
      <c r="T93" s="15"/>
      <c r="U93" s="15"/>
      <c r="V93" s="15"/>
      <c r="W93" s="92" t="s">
        <v>3202</v>
      </c>
    </row>
    <row r="94" spans="1:23" s="79" customFormat="1" ht="76.5" x14ac:dyDescent="0.2">
      <c r="A94" s="1" t="s">
        <v>178</v>
      </c>
      <c r="B94" s="2" t="s">
        <v>38</v>
      </c>
      <c r="C94" s="2" t="s">
        <v>179</v>
      </c>
      <c r="D94" s="2" t="s">
        <v>173</v>
      </c>
      <c r="E94" s="2">
        <v>2023</v>
      </c>
      <c r="F94" s="2" t="s">
        <v>188</v>
      </c>
      <c r="G94" s="2" t="s">
        <v>3095</v>
      </c>
      <c r="H94" s="2" t="s">
        <v>3092</v>
      </c>
      <c r="I94" s="1" t="s">
        <v>14</v>
      </c>
      <c r="J94" s="1" t="s">
        <v>4431</v>
      </c>
      <c r="K94" s="17"/>
      <c r="L94" s="54"/>
      <c r="M94" s="39"/>
      <c r="N94" s="39"/>
      <c r="O94" s="39"/>
      <c r="P94" s="39"/>
      <c r="Q94" s="39"/>
      <c r="R94" s="39"/>
      <c r="S94" s="39"/>
      <c r="T94" s="39"/>
      <c r="U94" s="39"/>
      <c r="V94" s="39"/>
      <c r="W94" s="92" t="s">
        <v>3202</v>
      </c>
    </row>
    <row r="95" spans="1:23" s="79" customFormat="1" ht="89.25" x14ac:dyDescent="0.2">
      <c r="A95" s="1" t="s">
        <v>178</v>
      </c>
      <c r="B95" s="2" t="s">
        <v>38</v>
      </c>
      <c r="C95" s="2" t="s">
        <v>179</v>
      </c>
      <c r="D95" s="2" t="s">
        <v>173</v>
      </c>
      <c r="E95" s="2">
        <v>2023</v>
      </c>
      <c r="F95" s="2" t="s">
        <v>203</v>
      </c>
      <c r="G95" s="2" t="s">
        <v>3095</v>
      </c>
      <c r="H95" s="2" t="s">
        <v>3092</v>
      </c>
      <c r="I95" s="1" t="s">
        <v>14</v>
      </c>
      <c r="J95" s="1" t="s">
        <v>4432</v>
      </c>
      <c r="K95" s="17"/>
      <c r="L95" s="54"/>
      <c r="M95" s="39"/>
      <c r="N95" s="39"/>
      <c r="O95" s="39"/>
      <c r="P95" s="39"/>
      <c r="Q95" s="39"/>
      <c r="R95" s="39"/>
      <c r="S95" s="39"/>
      <c r="T95" s="39"/>
      <c r="U95" s="39"/>
      <c r="V95" s="39"/>
      <c r="W95" s="92" t="s">
        <v>3202</v>
      </c>
    </row>
    <row r="96" spans="1:23" s="79" customFormat="1" ht="63.75" x14ac:dyDescent="0.2">
      <c r="A96" s="1" t="s">
        <v>178</v>
      </c>
      <c r="B96" s="2" t="s">
        <v>38</v>
      </c>
      <c r="C96" s="2" t="s">
        <v>179</v>
      </c>
      <c r="D96" s="2" t="s">
        <v>173</v>
      </c>
      <c r="E96" s="2">
        <v>2023</v>
      </c>
      <c r="F96" s="2" t="s">
        <v>211</v>
      </c>
      <c r="G96" s="2" t="s">
        <v>3095</v>
      </c>
      <c r="H96" s="2" t="s">
        <v>3092</v>
      </c>
      <c r="I96" s="1" t="s">
        <v>14</v>
      </c>
      <c r="J96" s="1" t="s">
        <v>4433</v>
      </c>
      <c r="K96" s="17"/>
      <c r="L96" s="54"/>
      <c r="M96" s="39"/>
      <c r="N96" s="39"/>
      <c r="O96" s="39"/>
      <c r="P96" s="39"/>
      <c r="Q96" s="39"/>
      <c r="R96" s="39"/>
      <c r="S96" s="39"/>
      <c r="T96" s="39"/>
      <c r="U96" s="39"/>
      <c r="V96" s="39"/>
      <c r="W96" s="92" t="s">
        <v>3202</v>
      </c>
    </row>
    <row r="97" spans="1:24" s="79" customFormat="1" ht="63.75" x14ac:dyDescent="0.2">
      <c r="A97" s="1" t="s">
        <v>178</v>
      </c>
      <c r="B97" s="2" t="s">
        <v>38</v>
      </c>
      <c r="C97" s="2" t="s">
        <v>179</v>
      </c>
      <c r="D97" s="2" t="s">
        <v>173</v>
      </c>
      <c r="E97" s="2">
        <v>2023</v>
      </c>
      <c r="F97" s="2" t="s">
        <v>221</v>
      </c>
      <c r="G97" s="2" t="s">
        <v>3095</v>
      </c>
      <c r="H97" s="2" t="s">
        <v>3092</v>
      </c>
      <c r="I97" s="1" t="s">
        <v>14</v>
      </c>
      <c r="J97" s="1" t="s">
        <v>4434</v>
      </c>
      <c r="K97" s="17"/>
      <c r="L97" s="54"/>
      <c r="M97" s="39"/>
      <c r="N97" s="39"/>
      <c r="O97" s="39"/>
      <c r="P97" s="39"/>
      <c r="Q97" s="39"/>
      <c r="R97" s="39"/>
      <c r="S97" s="39"/>
      <c r="T97" s="39"/>
      <c r="U97" s="39"/>
      <c r="V97" s="39"/>
      <c r="W97" s="92" t="s">
        <v>3202</v>
      </c>
    </row>
    <row r="98" spans="1:24" s="79" customFormat="1" ht="63.75" x14ac:dyDescent="0.2">
      <c r="A98" s="1" t="s">
        <v>178</v>
      </c>
      <c r="B98" s="2" t="s">
        <v>38</v>
      </c>
      <c r="C98" s="2" t="s">
        <v>179</v>
      </c>
      <c r="D98" s="2" t="s">
        <v>173</v>
      </c>
      <c r="E98" s="2">
        <v>2023</v>
      </c>
      <c r="F98" s="2" t="s">
        <v>256</v>
      </c>
      <c r="G98" s="2" t="s">
        <v>3095</v>
      </c>
      <c r="H98" s="2" t="s">
        <v>3092</v>
      </c>
      <c r="I98" s="1" t="s">
        <v>14</v>
      </c>
      <c r="J98" s="1" t="s">
        <v>4435</v>
      </c>
      <c r="K98" s="17"/>
      <c r="L98" s="54"/>
      <c r="M98" s="39"/>
      <c r="N98" s="39"/>
      <c r="O98" s="39"/>
      <c r="P98" s="39"/>
      <c r="Q98" s="39"/>
      <c r="R98" s="39"/>
      <c r="S98" s="39"/>
      <c r="T98" s="39"/>
      <c r="U98" s="39"/>
      <c r="V98" s="39"/>
      <c r="W98" s="92" t="s">
        <v>3202</v>
      </c>
    </row>
    <row r="99" spans="1:24" s="79" customFormat="1" ht="63.75" x14ac:dyDescent="0.2">
      <c r="A99" s="1" t="s">
        <v>178</v>
      </c>
      <c r="B99" s="2" t="s">
        <v>38</v>
      </c>
      <c r="C99" s="2" t="s">
        <v>179</v>
      </c>
      <c r="D99" s="2" t="s">
        <v>173</v>
      </c>
      <c r="E99" s="2">
        <v>2023</v>
      </c>
      <c r="F99" s="2" t="s">
        <v>276</v>
      </c>
      <c r="G99" s="2" t="s">
        <v>3095</v>
      </c>
      <c r="H99" s="2" t="s">
        <v>3092</v>
      </c>
      <c r="I99" s="1" t="s">
        <v>14</v>
      </c>
      <c r="J99" s="1" t="s">
        <v>4436</v>
      </c>
      <c r="K99" s="17"/>
      <c r="L99" s="54"/>
      <c r="M99" s="39"/>
      <c r="N99" s="39"/>
      <c r="O99" s="39"/>
      <c r="P99" s="39"/>
      <c r="Q99" s="39"/>
      <c r="R99" s="39"/>
      <c r="S99" s="39"/>
      <c r="T99" s="39"/>
      <c r="U99" s="39"/>
      <c r="V99" s="39"/>
      <c r="W99" s="92" t="s">
        <v>3202</v>
      </c>
    </row>
    <row r="100" spans="1:24" s="79" customFormat="1" ht="63.75" x14ac:dyDescent="0.2">
      <c r="A100" s="1" t="s">
        <v>178</v>
      </c>
      <c r="B100" s="2" t="s">
        <v>38</v>
      </c>
      <c r="C100" s="2" t="s">
        <v>179</v>
      </c>
      <c r="D100" s="2" t="s">
        <v>173</v>
      </c>
      <c r="E100" s="2">
        <v>2023</v>
      </c>
      <c r="F100" s="2" t="s">
        <v>291</v>
      </c>
      <c r="G100" s="2" t="s">
        <v>3095</v>
      </c>
      <c r="H100" s="2" t="s">
        <v>3092</v>
      </c>
      <c r="I100" s="1" t="s">
        <v>14</v>
      </c>
      <c r="J100" s="1" t="s">
        <v>4437</v>
      </c>
      <c r="K100" s="17"/>
      <c r="L100" s="54"/>
      <c r="M100" s="39"/>
      <c r="N100" s="39"/>
      <c r="O100" s="39"/>
      <c r="P100" s="39"/>
      <c r="Q100" s="39"/>
      <c r="R100" s="39"/>
      <c r="S100" s="39"/>
      <c r="T100" s="39"/>
      <c r="U100" s="39"/>
      <c r="V100" s="39"/>
      <c r="W100" s="92" t="s">
        <v>3202</v>
      </c>
    </row>
    <row r="101" spans="1:24" s="79" customFormat="1" ht="38.25" x14ac:dyDescent="0.2">
      <c r="A101" s="1" t="s">
        <v>178</v>
      </c>
      <c r="B101" s="2" t="s">
        <v>38</v>
      </c>
      <c r="C101" s="2" t="s">
        <v>179</v>
      </c>
      <c r="D101" s="2" t="s">
        <v>173</v>
      </c>
      <c r="E101" s="2">
        <v>2023</v>
      </c>
      <c r="F101" s="2" t="s">
        <v>311</v>
      </c>
      <c r="G101" s="2" t="s">
        <v>3095</v>
      </c>
      <c r="H101" s="2" t="s">
        <v>3092</v>
      </c>
      <c r="I101" s="1" t="s">
        <v>14</v>
      </c>
      <c r="J101" s="1" t="s">
        <v>4438</v>
      </c>
      <c r="K101" s="17"/>
      <c r="L101" s="54"/>
      <c r="M101" s="39"/>
      <c r="N101" s="39"/>
      <c r="O101" s="39"/>
      <c r="P101" s="39"/>
      <c r="Q101" s="39"/>
      <c r="R101" s="39"/>
      <c r="S101" s="39"/>
      <c r="T101" s="39"/>
      <c r="U101" s="39"/>
      <c r="V101" s="39"/>
      <c r="W101" s="92" t="s">
        <v>3202</v>
      </c>
    </row>
    <row r="102" spans="1:24" s="79" customFormat="1" ht="63.75" x14ac:dyDescent="0.2">
      <c r="A102" s="1" t="s">
        <v>178</v>
      </c>
      <c r="B102" s="2" t="s">
        <v>38</v>
      </c>
      <c r="C102" s="2" t="s">
        <v>179</v>
      </c>
      <c r="D102" s="2" t="s">
        <v>173</v>
      </c>
      <c r="E102" s="2">
        <v>2023</v>
      </c>
      <c r="F102" s="2" t="s">
        <v>337</v>
      </c>
      <c r="G102" s="2" t="s">
        <v>3095</v>
      </c>
      <c r="H102" s="2" t="s">
        <v>3092</v>
      </c>
      <c r="I102" s="1" t="s">
        <v>14</v>
      </c>
      <c r="J102" s="1" t="s">
        <v>4439</v>
      </c>
      <c r="K102" s="17"/>
      <c r="L102" s="54"/>
      <c r="M102" s="39"/>
      <c r="N102" s="39"/>
      <c r="O102" s="39"/>
      <c r="P102" s="39"/>
      <c r="Q102" s="39"/>
      <c r="R102" s="39"/>
      <c r="S102" s="39"/>
      <c r="T102" s="39"/>
      <c r="U102" s="39"/>
      <c r="V102" s="39"/>
      <c r="W102" s="92" t="s">
        <v>3202</v>
      </c>
    </row>
    <row r="103" spans="1:24" s="79" customFormat="1" ht="38.25" x14ac:dyDescent="0.2">
      <c r="A103" s="1" t="s">
        <v>178</v>
      </c>
      <c r="B103" s="2" t="s">
        <v>38</v>
      </c>
      <c r="C103" s="2" t="s">
        <v>179</v>
      </c>
      <c r="D103" s="2" t="s">
        <v>173</v>
      </c>
      <c r="E103" s="2">
        <v>2023</v>
      </c>
      <c r="F103" s="2" t="s">
        <v>364</v>
      </c>
      <c r="G103" s="2" t="s">
        <v>3095</v>
      </c>
      <c r="H103" s="2" t="s">
        <v>3092</v>
      </c>
      <c r="I103" s="1" t="s">
        <v>14</v>
      </c>
      <c r="J103" s="1" t="s">
        <v>4440</v>
      </c>
      <c r="K103" s="17"/>
      <c r="L103" s="54"/>
      <c r="M103" s="39"/>
      <c r="N103" s="39"/>
      <c r="O103" s="39"/>
      <c r="P103" s="39"/>
      <c r="Q103" s="39"/>
      <c r="R103" s="39"/>
      <c r="S103" s="39"/>
      <c r="T103" s="39"/>
      <c r="U103" s="39"/>
      <c r="V103" s="39"/>
      <c r="W103" s="92" t="s">
        <v>3202</v>
      </c>
    </row>
    <row r="104" spans="1:24" s="79" customFormat="1" ht="63.75" x14ac:dyDescent="0.2">
      <c r="A104" s="1" t="s">
        <v>178</v>
      </c>
      <c r="B104" s="2" t="s">
        <v>38</v>
      </c>
      <c r="C104" s="2" t="s">
        <v>179</v>
      </c>
      <c r="D104" s="2" t="s">
        <v>173</v>
      </c>
      <c r="E104" s="2">
        <v>2023</v>
      </c>
      <c r="F104" s="2" t="s">
        <v>388</v>
      </c>
      <c r="G104" s="2" t="s">
        <v>3095</v>
      </c>
      <c r="H104" s="2" t="s">
        <v>3092</v>
      </c>
      <c r="I104" s="1" t="s">
        <v>14</v>
      </c>
      <c r="J104" s="1" t="s">
        <v>4441</v>
      </c>
      <c r="K104" s="17"/>
      <c r="L104" s="53"/>
      <c r="M104" s="39"/>
      <c r="N104" s="39"/>
      <c r="O104" s="39"/>
      <c r="P104" s="39"/>
      <c r="Q104" s="39"/>
      <c r="R104" s="39"/>
      <c r="S104" s="39"/>
      <c r="T104" s="39"/>
      <c r="U104" s="39"/>
      <c r="V104" s="39"/>
      <c r="W104" s="92" t="s">
        <v>3202</v>
      </c>
      <c r="X104"/>
    </row>
    <row r="105" spans="1:24" s="79" customFormat="1" ht="25.5" x14ac:dyDescent="0.2">
      <c r="A105" s="1" t="s">
        <v>125</v>
      </c>
      <c r="B105" s="2" t="s">
        <v>10</v>
      </c>
      <c r="C105" s="2" t="s">
        <v>126</v>
      </c>
      <c r="D105" s="2" t="s">
        <v>124</v>
      </c>
      <c r="E105" s="2">
        <v>2023</v>
      </c>
      <c r="F105" s="2" t="s">
        <v>13</v>
      </c>
      <c r="G105" s="2" t="s">
        <v>3095</v>
      </c>
      <c r="H105" s="2" t="s">
        <v>3092</v>
      </c>
      <c r="I105" s="1" t="s">
        <v>14</v>
      </c>
      <c r="J105" s="1" t="s">
        <v>3214</v>
      </c>
      <c r="K105" s="17"/>
      <c r="L105" s="53"/>
      <c r="M105" s="39"/>
      <c r="N105" s="39"/>
      <c r="O105" s="39"/>
      <c r="P105" s="39"/>
      <c r="Q105" s="39"/>
      <c r="R105" s="39"/>
      <c r="S105" s="39"/>
      <c r="T105" s="39"/>
      <c r="U105" s="39"/>
      <c r="V105" s="39"/>
      <c r="W105" s="92" t="s">
        <v>1735</v>
      </c>
    </row>
    <row r="106" spans="1:24" s="79" customFormat="1" ht="25.5" x14ac:dyDescent="0.2">
      <c r="A106" s="1" t="s">
        <v>125</v>
      </c>
      <c r="B106" s="2" t="s">
        <v>10</v>
      </c>
      <c r="C106" s="2" t="s">
        <v>126</v>
      </c>
      <c r="D106" s="2" t="s">
        <v>124</v>
      </c>
      <c r="E106" s="2">
        <v>2023</v>
      </c>
      <c r="F106" s="2" t="s">
        <v>188</v>
      </c>
      <c r="G106" s="2" t="s">
        <v>3095</v>
      </c>
      <c r="H106" s="2" t="s">
        <v>3092</v>
      </c>
      <c r="I106" s="1" t="s">
        <v>14</v>
      </c>
      <c r="J106" s="1" t="s">
        <v>4442</v>
      </c>
      <c r="K106" s="17"/>
      <c r="L106" s="54"/>
      <c r="M106" s="39"/>
      <c r="N106" s="39"/>
      <c r="O106" s="39"/>
      <c r="P106" s="39"/>
      <c r="Q106" s="39"/>
      <c r="R106" s="39"/>
      <c r="S106" s="39"/>
      <c r="T106" s="39"/>
      <c r="U106" s="39"/>
      <c r="V106" s="39"/>
      <c r="W106" s="92" t="s">
        <v>1735</v>
      </c>
    </row>
    <row r="107" spans="1:24" s="79" customFormat="1" ht="25.5" x14ac:dyDescent="0.2">
      <c r="A107" s="1" t="s">
        <v>125</v>
      </c>
      <c r="B107" s="2" t="s">
        <v>10</v>
      </c>
      <c r="C107" s="2" t="s">
        <v>126</v>
      </c>
      <c r="D107" s="2" t="s">
        <v>124</v>
      </c>
      <c r="E107" s="2">
        <v>2023</v>
      </c>
      <c r="F107" s="2" t="s">
        <v>203</v>
      </c>
      <c r="G107" s="2" t="s">
        <v>3095</v>
      </c>
      <c r="H107" s="2" t="s">
        <v>3092</v>
      </c>
      <c r="I107" s="1" t="s">
        <v>14</v>
      </c>
      <c r="J107" s="1" t="s">
        <v>4443</v>
      </c>
      <c r="K107" s="17"/>
      <c r="L107" s="54"/>
      <c r="M107" s="39"/>
      <c r="N107" s="39"/>
      <c r="O107" s="39"/>
      <c r="P107" s="39"/>
      <c r="Q107" s="39"/>
      <c r="R107" s="39"/>
      <c r="S107" s="39"/>
      <c r="T107" s="39"/>
      <c r="U107" s="39"/>
      <c r="V107" s="39"/>
      <c r="W107" s="92" t="s">
        <v>1735</v>
      </c>
    </row>
    <row r="108" spans="1:24" s="79" customFormat="1" ht="25.5" x14ac:dyDescent="0.2">
      <c r="A108" s="1" t="s">
        <v>125</v>
      </c>
      <c r="B108" s="2" t="s">
        <v>10</v>
      </c>
      <c r="C108" s="2" t="s">
        <v>126</v>
      </c>
      <c r="D108" s="2" t="s">
        <v>124</v>
      </c>
      <c r="E108" s="2">
        <v>2023</v>
      </c>
      <c r="F108" s="2" t="s">
        <v>211</v>
      </c>
      <c r="G108" s="2" t="s">
        <v>3095</v>
      </c>
      <c r="H108" s="2" t="s">
        <v>3092</v>
      </c>
      <c r="I108" s="1" t="s">
        <v>14</v>
      </c>
      <c r="J108" s="1" t="s">
        <v>4444</v>
      </c>
      <c r="K108" s="17"/>
      <c r="L108" s="54"/>
      <c r="M108" s="39"/>
      <c r="N108" s="39"/>
      <c r="O108" s="39"/>
      <c r="P108" s="39"/>
      <c r="Q108" s="39"/>
      <c r="R108" s="39"/>
      <c r="S108" s="39"/>
      <c r="T108" s="39"/>
      <c r="U108" s="39"/>
      <c r="V108" s="39"/>
      <c r="W108" s="92" t="s">
        <v>1735</v>
      </c>
    </row>
    <row r="109" spans="1:24" s="79" customFormat="1" ht="25.5" x14ac:dyDescent="0.2">
      <c r="A109" s="1" t="s">
        <v>125</v>
      </c>
      <c r="B109" s="2" t="s">
        <v>10</v>
      </c>
      <c r="C109" s="2" t="s">
        <v>126</v>
      </c>
      <c r="D109" s="2" t="s">
        <v>124</v>
      </c>
      <c r="E109" s="2">
        <v>2023</v>
      </c>
      <c r="F109" s="2" t="s">
        <v>221</v>
      </c>
      <c r="G109" s="2" t="s">
        <v>3095</v>
      </c>
      <c r="H109" s="2" t="s">
        <v>3092</v>
      </c>
      <c r="I109" s="1" t="s">
        <v>14</v>
      </c>
      <c r="J109" s="1" t="s">
        <v>4445</v>
      </c>
      <c r="K109" s="17"/>
      <c r="L109" s="54"/>
      <c r="M109" s="39"/>
      <c r="N109" s="39"/>
      <c r="O109" s="39"/>
      <c r="P109" s="39"/>
      <c r="Q109" s="39"/>
      <c r="R109" s="39"/>
      <c r="S109" s="39"/>
      <c r="T109" s="39"/>
      <c r="U109" s="39"/>
      <c r="V109" s="39"/>
      <c r="W109" s="92" t="s">
        <v>1735</v>
      </c>
    </row>
    <row r="110" spans="1:24" s="79" customFormat="1" ht="25.5" x14ac:dyDescent="0.2">
      <c r="A110" s="1" t="s">
        <v>125</v>
      </c>
      <c r="B110" s="2" t="s">
        <v>10</v>
      </c>
      <c r="C110" s="2" t="s">
        <v>126</v>
      </c>
      <c r="D110" s="2" t="s">
        <v>124</v>
      </c>
      <c r="E110" s="2">
        <v>2023</v>
      </c>
      <c r="F110" s="2" t="s">
        <v>256</v>
      </c>
      <c r="G110" s="2" t="s">
        <v>3095</v>
      </c>
      <c r="H110" s="2" t="s">
        <v>3092</v>
      </c>
      <c r="I110" s="1" t="s">
        <v>14</v>
      </c>
      <c r="J110" s="1" t="s">
        <v>4446</v>
      </c>
      <c r="K110" s="17"/>
      <c r="L110" s="54"/>
      <c r="M110" s="39"/>
      <c r="N110" s="39"/>
      <c r="O110" s="39"/>
      <c r="P110" s="39"/>
      <c r="Q110" s="39"/>
      <c r="R110" s="39"/>
      <c r="S110" s="39"/>
      <c r="T110" s="39"/>
      <c r="U110" s="39"/>
      <c r="V110" s="39"/>
      <c r="W110" s="92" t="s">
        <v>1735</v>
      </c>
    </row>
    <row r="111" spans="1:24" s="79" customFormat="1" ht="25.5" x14ac:dyDescent="0.2">
      <c r="A111" s="1" t="s">
        <v>125</v>
      </c>
      <c r="B111" s="2" t="s">
        <v>10</v>
      </c>
      <c r="C111" s="2" t="s">
        <v>126</v>
      </c>
      <c r="D111" s="2" t="s">
        <v>124</v>
      </c>
      <c r="E111" s="2">
        <v>2023</v>
      </c>
      <c r="F111" s="2" t="s">
        <v>276</v>
      </c>
      <c r="G111" s="2" t="s">
        <v>3095</v>
      </c>
      <c r="H111" s="2" t="s">
        <v>3092</v>
      </c>
      <c r="I111" s="1" t="s">
        <v>14</v>
      </c>
      <c r="J111" s="1" t="s">
        <v>4447</v>
      </c>
      <c r="K111" s="17"/>
      <c r="L111" s="54"/>
      <c r="M111" s="39"/>
      <c r="N111" s="39"/>
      <c r="O111" s="39"/>
      <c r="P111" s="39"/>
      <c r="Q111" s="39"/>
      <c r="R111" s="39"/>
      <c r="S111" s="39"/>
      <c r="T111" s="39"/>
      <c r="U111" s="39"/>
      <c r="V111" s="39"/>
      <c r="W111" s="92" t="s">
        <v>1735</v>
      </c>
    </row>
    <row r="112" spans="1:24" s="79" customFormat="1" ht="25.5" x14ac:dyDescent="0.2">
      <c r="A112" s="1" t="s">
        <v>125</v>
      </c>
      <c r="B112" s="2" t="s">
        <v>10</v>
      </c>
      <c r="C112" s="2" t="s">
        <v>126</v>
      </c>
      <c r="D112" s="2" t="s">
        <v>124</v>
      </c>
      <c r="E112" s="2">
        <v>2023</v>
      </c>
      <c r="F112" s="2" t="s">
        <v>291</v>
      </c>
      <c r="G112" s="2" t="s">
        <v>3095</v>
      </c>
      <c r="H112" s="2" t="s">
        <v>3092</v>
      </c>
      <c r="I112" s="1" t="s">
        <v>14</v>
      </c>
      <c r="J112" s="1" t="s">
        <v>4448</v>
      </c>
      <c r="K112" s="17"/>
      <c r="L112" s="54"/>
      <c r="M112" s="39"/>
      <c r="N112" s="39"/>
      <c r="O112" s="39"/>
      <c r="P112" s="39"/>
      <c r="Q112" s="39"/>
      <c r="R112" s="39"/>
      <c r="S112" s="39"/>
      <c r="T112" s="39"/>
      <c r="U112" s="39"/>
      <c r="V112" s="39"/>
      <c r="W112" s="92" t="s">
        <v>1735</v>
      </c>
    </row>
    <row r="113" spans="1:24" s="79" customFormat="1" ht="25.5" x14ac:dyDescent="0.2">
      <c r="A113" s="1" t="s">
        <v>125</v>
      </c>
      <c r="B113" s="2" t="s">
        <v>10</v>
      </c>
      <c r="C113" s="2" t="s">
        <v>126</v>
      </c>
      <c r="D113" s="2" t="s">
        <v>124</v>
      </c>
      <c r="E113" s="2">
        <v>2023</v>
      </c>
      <c r="F113" s="2" t="s">
        <v>311</v>
      </c>
      <c r="G113" s="2" t="s">
        <v>3095</v>
      </c>
      <c r="H113" s="2" t="s">
        <v>3092</v>
      </c>
      <c r="I113" s="1" t="s">
        <v>14</v>
      </c>
      <c r="J113" s="1" t="s">
        <v>4449</v>
      </c>
      <c r="K113" s="17"/>
      <c r="L113" s="54"/>
      <c r="M113" s="39"/>
      <c r="N113" s="39"/>
      <c r="O113" s="39"/>
      <c r="P113" s="39"/>
      <c r="Q113" s="39"/>
      <c r="R113" s="39"/>
      <c r="S113" s="39"/>
      <c r="T113" s="39"/>
      <c r="U113" s="39"/>
      <c r="V113" s="39"/>
      <c r="W113" s="92" t="s">
        <v>1735</v>
      </c>
    </row>
    <row r="114" spans="1:24" s="79" customFormat="1" ht="25.5" x14ac:dyDescent="0.2">
      <c r="A114" s="1" t="s">
        <v>125</v>
      </c>
      <c r="B114" s="2" t="s">
        <v>10</v>
      </c>
      <c r="C114" s="2" t="s">
        <v>126</v>
      </c>
      <c r="D114" s="2" t="s">
        <v>124</v>
      </c>
      <c r="E114" s="2">
        <v>2023</v>
      </c>
      <c r="F114" s="2" t="s">
        <v>337</v>
      </c>
      <c r="G114" s="2" t="s">
        <v>3095</v>
      </c>
      <c r="H114" s="2" t="s">
        <v>3092</v>
      </c>
      <c r="I114" s="1" t="s">
        <v>14</v>
      </c>
      <c r="J114" s="1" t="s">
        <v>4450</v>
      </c>
      <c r="K114" s="17"/>
      <c r="L114" s="54"/>
      <c r="M114" s="39"/>
      <c r="N114" s="39"/>
      <c r="O114" s="39"/>
      <c r="P114" s="39"/>
      <c r="Q114" s="39"/>
      <c r="R114" s="39"/>
      <c r="S114" s="39"/>
      <c r="T114" s="39"/>
      <c r="U114" s="39"/>
      <c r="V114" s="39"/>
      <c r="W114" s="92" t="s">
        <v>1735</v>
      </c>
    </row>
    <row r="115" spans="1:24" s="79" customFormat="1" ht="25.5" x14ac:dyDescent="0.2">
      <c r="A115" s="1" t="s">
        <v>125</v>
      </c>
      <c r="B115" s="2" t="s">
        <v>10</v>
      </c>
      <c r="C115" s="2" t="s">
        <v>126</v>
      </c>
      <c r="D115" s="2" t="s">
        <v>124</v>
      </c>
      <c r="E115" s="2">
        <v>2023</v>
      </c>
      <c r="F115" s="2" t="s">
        <v>364</v>
      </c>
      <c r="G115" s="2" t="s">
        <v>3095</v>
      </c>
      <c r="H115" s="2" t="s">
        <v>3092</v>
      </c>
      <c r="I115" s="1" t="s">
        <v>14</v>
      </c>
      <c r="J115" s="1" t="s">
        <v>4451</v>
      </c>
      <c r="K115" s="17"/>
      <c r="L115" s="54"/>
      <c r="M115" s="39"/>
      <c r="N115" s="39"/>
      <c r="O115" s="39"/>
      <c r="P115" s="39"/>
      <c r="Q115" s="39"/>
      <c r="R115" s="39"/>
      <c r="S115" s="39"/>
      <c r="T115" s="39"/>
      <c r="U115" s="39"/>
      <c r="V115" s="39"/>
      <c r="W115" s="92" t="s">
        <v>1735</v>
      </c>
    </row>
    <row r="116" spans="1:24" s="79" customFormat="1" ht="25.5" x14ac:dyDescent="0.2">
      <c r="A116" s="1" t="s">
        <v>125</v>
      </c>
      <c r="B116" s="2" t="s">
        <v>10</v>
      </c>
      <c r="C116" s="2" t="s">
        <v>126</v>
      </c>
      <c r="D116" s="2" t="s">
        <v>124</v>
      </c>
      <c r="E116" s="2">
        <v>2023</v>
      </c>
      <c r="F116" s="2" t="s">
        <v>388</v>
      </c>
      <c r="G116" s="2" t="s">
        <v>3095</v>
      </c>
      <c r="H116" s="2" t="s">
        <v>3092</v>
      </c>
      <c r="I116" s="1" t="s">
        <v>14</v>
      </c>
      <c r="J116" s="1" t="s">
        <v>4452</v>
      </c>
      <c r="K116" s="17"/>
      <c r="L116" s="58"/>
      <c r="M116" s="59"/>
      <c r="N116" s="59"/>
      <c r="O116" s="59"/>
      <c r="P116" s="59"/>
      <c r="Q116" s="59"/>
      <c r="R116" s="59"/>
      <c r="S116" s="59"/>
      <c r="T116" s="59"/>
      <c r="U116" s="59"/>
      <c r="V116" s="59"/>
      <c r="W116" s="93" t="s">
        <v>1735</v>
      </c>
      <c r="X116"/>
    </row>
    <row r="117" spans="1:24" s="79" customFormat="1" ht="38.25" x14ac:dyDescent="0.2">
      <c r="A117" s="1" t="s">
        <v>426</v>
      </c>
      <c r="B117" s="2" t="s">
        <v>196</v>
      </c>
      <c r="C117" s="2" t="s">
        <v>427</v>
      </c>
      <c r="D117" s="2" t="s">
        <v>192</v>
      </c>
      <c r="E117" s="2">
        <v>2023</v>
      </c>
      <c r="F117" s="2" t="s">
        <v>337</v>
      </c>
      <c r="G117" s="2" t="s">
        <v>3092</v>
      </c>
      <c r="H117" s="2" t="s">
        <v>3093</v>
      </c>
      <c r="I117" s="1" t="s">
        <v>4453</v>
      </c>
      <c r="J117" s="1" t="s">
        <v>14</v>
      </c>
      <c r="K117" s="17"/>
      <c r="L117" s="54"/>
      <c r="M117" s="39"/>
      <c r="N117" s="39"/>
      <c r="O117" s="39"/>
      <c r="P117" s="39"/>
      <c r="Q117" s="39"/>
      <c r="R117" s="39"/>
      <c r="S117" s="39"/>
      <c r="T117" s="39"/>
      <c r="U117" s="39"/>
      <c r="V117" s="39"/>
      <c r="W117" s="92" t="s">
        <v>4454</v>
      </c>
    </row>
    <row r="118" spans="1:24" s="79" customFormat="1" ht="51" x14ac:dyDescent="0.2">
      <c r="A118" s="1" t="s">
        <v>426</v>
      </c>
      <c r="B118" s="2" t="s">
        <v>196</v>
      </c>
      <c r="C118" s="2" t="s">
        <v>427</v>
      </c>
      <c r="D118" s="2" t="s">
        <v>192</v>
      </c>
      <c r="E118" s="2">
        <v>2023</v>
      </c>
      <c r="F118" s="2" t="s">
        <v>364</v>
      </c>
      <c r="G118" s="2" t="s">
        <v>3092</v>
      </c>
      <c r="H118" s="2" t="s">
        <v>3093</v>
      </c>
      <c r="I118" s="1" t="s">
        <v>4455</v>
      </c>
      <c r="J118" s="1" t="s">
        <v>14</v>
      </c>
      <c r="K118" s="17"/>
      <c r="L118" s="54"/>
      <c r="M118" s="39"/>
      <c r="N118" s="39"/>
      <c r="O118" s="39"/>
      <c r="P118" s="39"/>
      <c r="Q118" s="39"/>
      <c r="R118" s="39"/>
      <c r="S118" s="39"/>
      <c r="T118" s="39"/>
      <c r="U118" s="39"/>
      <c r="V118" s="39"/>
      <c r="W118" s="92" t="s">
        <v>4454</v>
      </c>
    </row>
    <row r="119" spans="1:24" s="79" customFormat="1" ht="25.5" x14ac:dyDescent="0.2">
      <c r="A119" s="1" t="s">
        <v>165</v>
      </c>
      <c r="B119" s="2" t="s">
        <v>38</v>
      </c>
      <c r="C119" s="2" t="s">
        <v>166</v>
      </c>
      <c r="D119" s="2" t="s">
        <v>3227</v>
      </c>
      <c r="E119" s="2">
        <v>2023</v>
      </c>
      <c r="F119" s="2" t="s">
        <v>203</v>
      </c>
      <c r="G119" s="2" t="s">
        <v>3095</v>
      </c>
      <c r="H119" s="2" t="s">
        <v>3092</v>
      </c>
      <c r="I119" s="1" t="s">
        <v>14</v>
      </c>
      <c r="J119" s="1" t="s">
        <v>4456</v>
      </c>
      <c r="K119" s="17"/>
      <c r="L119" s="54">
        <v>0.22600000000000001</v>
      </c>
      <c r="M119" s="39"/>
      <c r="N119" s="39"/>
      <c r="O119" s="39"/>
      <c r="P119" s="39"/>
      <c r="Q119" s="39"/>
      <c r="R119" s="39">
        <v>12.7</v>
      </c>
      <c r="S119" s="39"/>
      <c r="T119" s="39"/>
      <c r="U119" s="39"/>
      <c r="V119" s="39"/>
      <c r="W119" s="92"/>
    </row>
    <row r="120" spans="1:24" s="79" customFormat="1" ht="25.5" x14ac:dyDescent="0.2">
      <c r="A120" s="1" t="s">
        <v>207</v>
      </c>
      <c r="B120" s="2" t="s">
        <v>48</v>
      </c>
      <c r="C120" s="2" t="s">
        <v>208</v>
      </c>
      <c r="D120" s="2" t="s">
        <v>40</v>
      </c>
      <c r="E120" s="2">
        <v>2023</v>
      </c>
      <c r="F120" s="2" t="s">
        <v>13</v>
      </c>
      <c r="G120" s="2" t="s">
        <v>3095</v>
      </c>
      <c r="H120" s="2" t="s">
        <v>3092</v>
      </c>
      <c r="I120" s="1" t="s">
        <v>14</v>
      </c>
      <c r="J120" s="1" t="s">
        <v>4457</v>
      </c>
      <c r="K120" s="17"/>
      <c r="L120" s="54">
        <v>0.23</v>
      </c>
      <c r="M120" s="39"/>
      <c r="N120" s="39"/>
      <c r="O120" s="39"/>
      <c r="P120" s="39"/>
      <c r="Q120" s="39"/>
      <c r="R120" s="39"/>
      <c r="S120" s="39">
        <v>54.06</v>
      </c>
      <c r="T120" s="39"/>
      <c r="U120" s="39"/>
      <c r="V120" s="3"/>
      <c r="W120" s="92" t="s">
        <v>1743</v>
      </c>
    </row>
    <row r="121" spans="1:24" s="79" customFormat="1" ht="38.25" x14ac:dyDescent="0.2">
      <c r="A121" s="1" t="s">
        <v>207</v>
      </c>
      <c r="B121" s="2" t="s">
        <v>48</v>
      </c>
      <c r="C121" s="2" t="s">
        <v>208</v>
      </c>
      <c r="D121" s="2" t="s">
        <v>40</v>
      </c>
      <c r="E121" s="2">
        <v>2023</v>
      </c>
      <c r="F121" s="2" t="s">
        <v>188</v>
      </c>
      <c r="G121" s="2" t="s">
        <v>3095</v>
      </c>
      <c r="H121" s="2" t="s">
        <v>3092</v>
      </c>
      <c r="I121" s="1" t="s">
        <v>14</v>
      </c>
      <c r="J121" s="1" t="s">
        <v>4458</v>
      </c>
      <c r="K121" s="17"/>
      <c r="L121" s="54">
        <v>0.23</v>
      </c>
      <c r="M121" s="39"/>
      <c r="N121" s="39"/>
      <c r="O121" s="39"/>
      <c r="P121" s="39"/>
      <c r="Q121" s="39"/>
      <c r="R121" s="39"/>
      <c r="S121" s="39">
        <v>62.57</v>
      </c>
      <c r="T121" s="39"/>
      <c r="U121" s="39"/>
      <c r="V121" s="3"/>
      <c r="W121" s="92" t="s">
        <v>1743</v>
      </c>
    </row>
    <row r="122" spans="1:24" s="79" customFormat="1" ht="25.5" x14ac:dyDescent="0.2">
      <c r="A122" s="1" t="s">
        <v>207</v>
      </c>
      <c r="B122" s="2" t="s">
        <v>48</v>
      </c>
      <c r="C122" s="2" t="s">
        <v>208</v>
      </c>
      <c r="D122" s="2" t="s">
        <v>40</v>
      </c>
      <c r="E122" s="2">
        <v>2023</v>
      </c>
      <c r="F122" s="2" t="s">
        <v>203</v>
      </c>
      <c r="G122" s="2" t="s">
        <v>3095</v>
      </c>
      <c r="H122" s="2" t="s">
        <v>3092</v>
      </c>
      <c r="I122" s="1" t="s">
        <v>14</v>
      </c>
      <c r="J122" s="1" t="s">
        <v>4459</v>
      </c>
      <c r="K122" s="17"/>
      <c r="L122" s="54">
        <v>0.24</v>
      </c>
      <c r="M122" s="39"/>
      <c r="N122" s="39"/>
      <c r="O122" s="39"/>
      <c r="P122" s="39"/>
      <c r="Q122" s="39"/>
      <c r="R122" s="39"/>
      <c r="S122" s="39">
        <v>69.819999999999993</v>
      </c>
      <c r="T122" s="39"/>
      <c r="U122" s="39"/>
      <c r="V122" s="3"/>
      <c r="W122" s="92" t="s">
        <v>1743</v>
      </c>
    </row>
    <row r="123" spans="1:24" s="79" customFormat="1" ht="25.5" x14ac:dyDescent="0.2">
      <c r="A123" s="1" t="s">
        <v>207</v>
      </c>
      <c r="B123" s="2" t="s">
        <v>48</v>
      </c>
      <c r="C123" s="2" t="s">
        <v>208</v>
      </c>
      <c r="D123" s="2" t="s">
        <v>40</v>
      </c>
      <c r="E123" s="2">
        <v>2023</v>
      </c>
      <c r="F123" s="2" t="s">
        <v>211</v>
      </c>
      <c r="G123" s="2" t="s">
        <v>3095</v>
      </c>
      <c r="H123" s="2" t="s">
        <v>3092</v>
      </c>
      <c r="I123" s="1" t="s">
        <v>14</v>
      </c>
      <c r="J123" s="1" t="s">
        <v>4460</v>
      </c>
      <c r="K123" s="17"/>
      <c r="L123" s="54">
        <v>0.23</v>
      </c>
      <c r="M123" s="39"/>
      <c r="N123" s="39"/>
      <c r="O123" s="39"/>
      <c r="P123" s="39"/>
      <c r="Q123" s="39"/>
      <c r="R123" s="39"/>
      <c r="S123" s="39">
        <v>53.06</v>
      </c>
      <c r="T123" s="39"/>
      <c r="U123" s="39"/>
      <c r="V123" s="3"/>
      <c r="W123" s="92" t="s">
        <v>1743</v>
      </c>
    </row>
    <row r="124" spans="1:24" s="79" customFormat="1" ht="25.5" x14ac:dyDescent="0.2">
      <c r="A124" s="1" t="s">
        <v>207</v>
      </c>
      <c r="B124" s="2" t="s">
        <v>48</v>
      </c>
      <c r="C124" s="2" t="s">
        <v>208</v>
      </c>
      <c r="D124" s="2" t="s">
        <v>40</v>
      </c>
      <c r="E124" s="2">
        <v>2023</v>
      </c>
      <c r="F124" s="2" t="s">
        <v>221</v>
      </c>
      <c r="G124" s="2" t="s">
        <v>3095</v>
      </c>
      <c r="H124" s="2" t="s">
        <v>3092</v>
      </c>
      <c r="I124" s="1" t="s">
        <v>14</v>
      </c>
      <c r="J124" s="1" t="s">
        <v>4461</v>
      </c>
      <c r="K124" s="17"/>
      <c r="L124" s="54">
        <v>0.23</v>
      </c>
      <c r="M124" s="39"/>
      <c r="N124" s="39"/>
      <c r="O124" s="39"/>
      <c r="P124" s="39"/>
      <c r="Q124" s="39"/>
      <c r="R124" s="39"/>
      <c r="S124" s="39">
        <v>27.23</v>
      </c>
      <c r="T124" s="39"/>
      <c r="U124" s="39"/>
      <c r="V124" s="39"/>
      <c r="W124" s="92" t="s">
        <v>1743</v>
      </c>
    </row>
    <row r="125" spans="1:24" s="79" customFormat="1" ht="76.5" x14ac:dyDescent="0.2">
      <c r="A125" s="1" t="s">
        <v>207</v>
      </c>
      <c r="B125" s="2" t="s">
        <v>48</v>
      </c>
      <c r="C125" s="2" t="s">
        <v>208</v>
      </c>
      <c r="D125" s="2" t="s">
        <v>40</v>
      </c>
      <c r="E125" s="2">
        <v>2023</v>
      </c>
      <c r="F125" s="2" t="s">
        <v>256</v>
      </c>
      <c r="G125" s="2" t="s">
        <v>3095</v>
      </c>
      <c r="H125" s="2" t="s">
        <v>3092</v>
      </c>
      <c r="I125" s="1" t="s">
        <v>14</v>
      </c>
      <c r="J125" s="1" t="s">
        <v>4462</v>
      </c>
      <c r="K125" s="17"/>
      <c r="L125" s="54">
        <v>0.22500000000000001</v>
      </c>
      <c r="M125" s="39"/>
      <c r="N125" s="39"/>
      <c r="O125" s="39"/>
      <c r="P125" s="39"/>
      <c r="Q125" s="39"/>
      <c r="R125" s="39"/>
      <c r="S125" s="39">
        <v>51.09</v>
      </c>
      <c r="T125" s="39"/>
      <c r="U125" s="39"/>
      <c r="V125" s="39"/>
      <c r="W125" s="92"/>
    </row>
    <row r="126" spans="1:24" s="79" customFormat="1" ht="38.25" x14ac:dyDescent="0.2">
      <c r="A126" s="1" t="s">
        <v>207</v>
      </c>
      <c r="B126" s="2" t="s">
        <v>48</v>
      </c>
      <c r="C126" s="2" t="s">
        <v>208</v>
      </c>
      <c r="D126" s="2" t="s">
        <v>40</v>
      </c>
      <c r="E126" s="2">
        <v>2023</v>
      </c>
      <c r="F126" s="2" t="s">
        <v>276</v>
      </c>
      <c r="G126" s="2" t="s">
        <v>3095</v>
      </c>
      <c r="H126" s="2" t="s">
        <v>3092</v>
      </c>
      <c r="I126" s="1" t="s">
        <v>14</v>
      </c>
      <c r="J126" s="1" t="s">
        <v>4463</v>
      </c>
      <c r="K126" s="17"/>
      <c r="L126" s="54">
        <v>0.245</v>
      </c>
      <c r="M126" s="39"/>
      <c r="N126" s="39"/>
      <c r="O126" s="39"/>
      <c r="P126" s="39"/>
      <c r="Q126" s="39"/>
      <c r="R126" s="39"/>
      <c r="S126" s="39">
        <v>56.21</v>
      </c>
      <c r="T126" s="39"/>
      <c r="U126" s="39"/>
      <c r="V126" s="39"/>
      <c r="W126" s="92"/>
    </row>
    <row r="127" spans="1:24" s="79" customFormat="1" ht="25.5" x14ac:dyDescent="0.2">
      <c r="A127" s="1" t="s">
        <v>207</v>
      </c>
      <c r="B127" s="2" t="s">
        <v>48</v>
      </c>
      <c r="C127" s="2" t="s">
        <v>208</v>
      </c>
      <c r="D127" s="2" t="s">
        <v>40</v>
      </c>
      <c r="E127" s="2">
        <v>2023</v>
      </c>
      <c r="F127" s="2" t="s">
        <v>291</v>
      </c>
      <c r="G127" s="2" t="s">
        <v>3095</v>
      </c>
      <c r="H127" s="2" t="s">
        <v>3092</v>
      </c>
      <c r="I127" s="1" t="s">
        <v>14</v>
      </c>
      <c r="J127" s="1" t="s">
        <v>4464</v>
      </c>
      <c r="K127" s="17"/>
      <c r="L127" s="54">
        <v>0.24</v>
      </c>
      <c r="M127" s="39"/>
      <c r="N127" s="39"/>
      <c r="O127" s="39"/>
      <c r="P127" s="39"/>
      <c r="Q127" s="39"/>
      <c r="R127" s="39"/>
      <c r="S127" s="39">
        <v>53.51</v>
      </c>
      <c r="T127" s="39"/>
      <c r="U127" s="39"/>
      <c r="V127" s="39"/>
      <c r="W127" s="92"/>
    </row>
    <row r="128" spans="1:24" s="79" customFormat="1" ht="25.5" x14ac:dyDescent="0.2">
      <c r="A128" s="1" t="s">
        <v>207</v>
      </c>
      <c r="B128" s="2" t="s">
        <v>48</v>
      </c>
      <c r="C128" s="2" t="s">
        <v>208</v>
      </c>
      <c r="D128" s="2" t="s">
        <v>40</v>
      </c>
      <c r="E128" s="2">
        <v>2023</v>
      </c>
      <c r="F128" s="2" t="s">
        <v>311</v>
      </c>
      <c r="G128" s="2" t="s">
        <v>3095</v>
      </c>
      <c r="H128" s="2" t="s">
        <v>3092</v>
      </c>
      <c r="I128" s="1" t="s">
        <v>14</v>
      </c>
      <c r="J128" s="1" t="s">
        <v>4465</v>
      </c>
      <c r="K128" s="17"/>
      <c r="L128" s="54">
        <v>0.23</v>
      </c>
      <c r="M128" s="39"/>
      <c r="N128" s="39"/>
      <c r="O128" s="39"/>
      <c r="P128" s="39"/>
      <c r="Q128" s="39"/>
      <c r="R128" s="39"/>
      <c r="S128" s="3">
        <v>55.01</v>
      </c>
      <c r="T128" s="39"/>
      <c r="U128" s="39"/>
      <c r="V128" s="39"/>
      <c r="W128" s="92"/>
    </row>
    <row r="129" spans="1:23" s="79" customFormat="1" ht="25.5" x14ac:dyDescent="0.2">
      <c r="A129" s="1" t="s">
        <v>207</v>
      </c>
      <c r="B129" s="2" t="s">
        <v>48</v>
      </c>
      <c r="C129" s="2" t="s">
        <v>208</v>
      </c>
      <c r="D129" s="2" t="s">
        <v>40</v>
      </c>
      <c r="E129" s="2">
        <v>2023</v>
      </c>
      <c r="F129" s="2" t="s">
        <v>337</v>
      </c>
      <c r="G129" s="2" t="s">
        <v>3095</v>
      </c>
      <c r="H129" s="2" t="s">
        <v>3092</v>
      </c>
      <c r="I129" s="1" t="s">
        <v>14</v>
      </c>
      <c r="J129" s="1" t="s">
        <v>4466</v>
      </c>
      <c r="K129" s="17"/>
      <c r="L129" s="54">
        <v>0.24</v>
      </c>
      <c r="M129" s="39"/>
      <c r="N129" s="39"/>
      <c r="O129" s="39"/>
      <c r="P129" s="39"/>
      <c r="Q129" s="39"/>
      <c r="R129" s="39"/>
      <c r="S129" s="3">
        <v>55.91</v>
      </c>
      <c r="T129" s="39"/>
      <c r="U129" s="39"/>
      <c r="V129" s="39"/>
      <c r="W129" s="92"/>
    </row>
    <row r="130" spans="1:23" s="79" customFormat="1" ht="25.5" x14ac:dyDescent="0.2">
      <c r="A130" s="1" t="s">
        <v>207</v>
      </c>
      <c r="B130" s="2" t="s">
        <v>48</v>
      </c>
      <c r="C130" s="2" t="s">
        <v>208</v>
      </c>
      <c r="D130" s="2" t="s">
        <v>40</v>
      </c>
      <c r="E130" s="2">
        <v>2023</v>
      </c>
      <c r="F130" s="2" t="s">
        <v>364</v>
      </c>
      <c r="G130" s="2" t="s">
        <v>3095</v>
      </c>
      <c r="H130" s="2" t="s">
        <v>3092</v>
      </c>
      <c r="I130" s="1" t="s">
        <v>14</v>
      </c>
      <c r="J130" s="1" t="s">
        <v>4467</v>
      </c>
      <c r="K130" s="17"/>
      <c r="L130" s="54">
        <v>0.24249999999999999</v>
      </c>
      <c r="M130" s="39"/>
      <c r="N130" s="39"/>
      <c r="O130" s="39"/>
      <c r="P130" s="39"/>
      <c r="Q130" s="39"/>
      <c r="R130" s="39"/>
      <c r="S130" s="3">
        <v>67.23</v>
      </c>
      <c r="T130" s="39"/>
      <c r="U130" s="39"/>
      <c r="V130" s="39"/>
      <c r="W130" s="92"/>
    </row>
    <row r="131" spans="1:23" s="79" customFormat="1" ht="25.5" x14ac:dyDescent="0.2">
      <c r="A131" s="1" t="s">
        <v>207</v>
      </c>
      <c r="B131" s="2" t="s">
        <v>48</v>
      </c>
      <c r="C131" s="2" t="s">
        <v>208</v>
      </c>
      <c r="D131" s="2" t="s">
        <v>40</v>
      </c>
      <c r="E131" s="2">
        <v>2023</v>
      </c>
      <c r="F131" s="2" t="s">
        <v>388</v>
      </c>
      <c r="G131" s="2" t="s">
        <v>3095</v>
      </c>
      <c r="H131" s="2" t="s">
        <v>3092</v>
      </c>
      <c r="I131" s="1" t="s">
        <v>14</v>
      </c>
      <c r="J131" s="1" t="s">
        <v>4468</v>
      </c>
      <c r="K131" s="17"/>
      <c r="L131" s="54">
        <v>0.24349999999999999</v>
      </c>
      <c r="M131" s="39"/>
      <c r="N131" s="39"/>
      <c r="O131" s="39"/>
      <c r="P131" s="39"/>
      <c r="Q131" s="39"/>
      <c r="R131" s="39"/>
      <c r="S131" s="39">
        <v>57.69</v>
      </c>
      <c r="T131" s="39"/>
      <c r="U131" s="39"/>
      <c r="V131" s="39"/>
      <c r="W131" s="92"/>
    </row>
    <row r="132" spans="1:23" s="79" customFormat="1" ht="25.5" x14ac:dyDescent="0.2">
      <c r="A132" s="1" t="s">
        <v>127</v>
      </c>
      <c r="B132" s="2" t="s">
        <v>16</v>
      </c>
      <c r="C132" s="2" t="s">
        <v>128</v>
      </c>
      <c r="D132" s="2" t="s">
        <v>129</v>
      </c>
      <c r="E132" s="2">
        <v>2023</v>
      </c>
      <c r="F132" s="2" t="s">
        <v>13</v>
      </c>
      <c r="G132" s="2" t="s">
        <v>3095</v>
      </c>
      <c r="H132" s="2" t="s">
        <v>3092</v>
      </c>
      <c r="I132" s="1" t="s">
        <v>14</v>
      </c>
      <c r="J132" s="1" t="s">
        <v>4469</v>
      </c>
      <c r="K132" s="17"/>
      <c r="L132" s="54">
        <v>0.32400000000000001</v>
      </c>
      <c r="M132" s="39"/>
      <c r="N132" s="39"/>
      <c r="O132" s="39">
        <f>19.2+18.8+20.1+19+19.1+20.8</f>
        <v>116.99999999999999</v>
      </c>
      <c r="P132" s="39"/>
      <c r="Q132" s="39"/>
      <c r="R132" s="39"/>
      <c r="S132" s="39"/>
      <c r="T132" s="39"/>
      <c r="U132" s="39"/>
      <c r="V132" s="39"/>
      <c r="W132" s="92"/>
    </row>
    <row r="133" spans="1:23" s="79" customFormat="1" ht="25.5" x14ac:dyDescent="0.2">
      <c r="A133" s="1" t="s">
        <v>127</v>
      </c>
      <c r="B133" s="2" t="s">
        <v>16</v>
      </c>
      <c r="C133" s="2" t="s">
        <v>128</v>
      </c>
      <c r="D133" s="2" t="s">
        <v>129</v>
      </c>
      <c r="E133" s="2">
        <v>2023</v>
      </c>
      <c r="F133" s="2" t="s">
        <v>188</v>
      </c>
      <c r="G133" s="2" t="s">
        <v>3095</v>
      </c>
      <c r="H133" s="2" t="s">
        <v>3092</v>
      </c>
      <c r="I133" s="1" t="s">
        <v>14</v>
      </c>
      <c r="J133" s="1" t="s">
        <v>4470</v>
      </c>
      <c r="K133" s="17"/>
      <c r="L133" s="54">
        <v>0.32400000000000001</v>
      </c>
      <c r="M133" s="39"/>
      <c r="N133" s="39"/>
      <c r="O133" s="39">
        <f>18.1+18.3+21.3+17.1</f>
        <v>74.800000000000011</v>
      </c>
      <c r="P133" s="39"/>
      <c r="Q133" s="39"/>
      <c r="R133" s="39"/>
      <c r="S133" s="39"/>
      <c r="T133" s="39"/>
      <c r="U133" s="39"/>
      <c r="V133" s="39"/>
      <c r="W133" s="92"/>
    </row>
    <row r="134" spans="1:23" s="79" customFormat="1" ht="38.25" x14ac:dyDescent="0.2">
      <c r="A134" s="1" t="s">
        <v>127</v>
      </c>
      <c r="B134" s="2" t="s">
        <v>16</v>
      </c>
      <c r="C134" s="2" t="s">
        <v>128</v>
      </c>
      <c r="D134" s="2" t="s">
        <v>129</v>
      </c>
      <c r="E134" s="2">
        <v>2023</v>
      </c>
      <c r="F134" s="2" t="s">
        <v>203</v>
      </c>
      <c r="G134" s="2" t="s">
        <v>3095</v>
      </c>
      <c r="H134" s="2" t="s">
        <v>3092</v>
      </c>
      <c r="I134" s="1" t="s">
        <v>14</v>
      </c>
      <c r="J134" s="1" t="s">
        <v>4471</v>
      </c>
      <c r="K134" s="17"/>
      <c r="L134" s="54">
        <v>0.30599999999999999</v>
      </c>
      <c r="M134" s="39"/>
      <c r="N134" s="39"/>
      <c r="O134" s="39">
        <f>18.3+20.2+19+16.7+15.6+16.7+16.4</f>
        <v>122.9</v>
      </c>
      <c r="P134" s="39"/>
      <c r="Q134" s="39"/>
      <c r="R134" s="39"/>
      <c r="S134" s="39"/>
      <c r="T134" s="39"/>
      <c r="U134" s="39"/>
      <c r="V134" s="39"/>
      <c r="W134" s="92"/>
    </row>
    <row r="135" spans="1:23" s="79" customFormat="1" ht="38.25" x14ac:dyDescent="0.2">
      <c r="A135" s="1" t="s">
        <v>127</v>
      </c>
      <c r="B135" s="2" t="s">
        <v>16</v>
      </c>
      <c r="C135" s="2" t="s">
        <v>128</v>
      </c>
      <c r="D135" s="2" t="s">
        <v>129</v>
      </c>
      <c r="E135" s="2">
        <v>2023</v>
      </c>
      <c r="F135" s="2" t="s">
        <v>211</v>
      </c>
      <c r="G135" s="2" t="s">
        <v>3095</v>
      </c>
      <c r="H135" s="2" t="s">
        <v>3092</v>
      </c>
      <c r="I135" s="1" t="s">
        <v>14</v>
      </c>
      <c r="J135" s="1" t="s">
        <v>4472</v>
      </c>
      <c r="K135" s="17"/>
      <c r="L135" s="54">
        <v>0.32700000000000001</v>
      </c>
      <c r="M135" s="39"/>
      <c r="N135" s="39"/>
      <c r="O135" s="39">
        <f>17+15.1+15.5+15.7+15.8+15.5</f>
        <v>94.6</v>
      </c>
      <c r="P135" s="39"/>
      <c r="Q135" s="39"/>
      <c r="R135" s="39"/>
      <c r="S135" s="39"/>
      <c r="T135" s="39"/>
      <c r="U135" s="39"/>
      <c r="V135" s="39"/>
      <c r="W135" s="92"/>
    </row>
    <row r="136" spans="1:23" s="79" customFormat="1" ht="38.25" x14ac:dyDescent="0.2">
      <c r="A136" s="1" t="s">
        <v>127</v>
      </c>
      <c r="B136" s="2" t="s">
        <v>16</v>
      </c>
      <c r="C136" s="2" t="s">
        <v>128</v>
      </c>
      <c r="D136" s="2" t="s">
        <v>129</v>
      </c>
      <c r="E136" s="2">
        <v>2023</v>
      </c>
      <c r="F136" s="2" t="s">
        <v>221</v>
      </c>
      <c r="G136" s="2" t="s">
        <v>3095</v>
      </c>
      <c r="H136" s="2" t="s">
        <v>3092</v>
      </c>
      <c r="I136" s="1" t="s">
        <v>14</v>
      </c>
      <c r="J136" s="1" t="s">
        <v>4473</v>
      </c>
      <c r="K136" s="17"/>
      <c r="L136" s="54">
        <v>0.28799999999999998</v>
      </c>
      <c r="M136" s="39"/>
      <c r="N136" s="39"/>
      <c r="O136" s="39">
        <f>21.5+19.9+19.8+19.5+19.5+21</f>
        <v>121.2</v>
      </c>
      <c r="P136" s="39"/>
      <c r="Q136" s="39"/>
      <c r="R136" s="39"/>
      <c r="S136" s="39"/>
      <c r="T136" s="39"/>
      <c r="U136" s="39"/>
      <c r="V136" s="39"/>
      <c r="W136" s="92"/>
    </row>
    <row r="137" spans="1:23" s="79" customFormat="1" ht="25.5" x14ac:dyDescent="0.2">
      <c r="A137" s="1" t="s">
        <v>127</v>
      </c>
      <c r="B137" s="2" t="s">
        <v>16</v>
      </c>
      <c r="C137" s="2" t="s">
        <v>128</v>
      </c>
      <c r="D137" s="2" t="s">
        <v>129</v>
      </c>
      <c r="E137" s="2">
        <v>2023</v>
      </c>
      <c r="F137" s="2" t="s">
        <v>256</v>
      </c>
      <c r="G137" s="2" t="s">
        <v>3095</v>
      </c>
      <c r="H137" s="2" t="s">
        <v>3092</v>
      </c>
      <c r="I137" s="1" t="s">
        <v>14</v>
      </c>
      <c r="J137" s="1" t="s">
        <v>4474</v>
      </c>
      <c r="K137" s="17"/>
      <c r="L137" s="54">
        <v>0.32600000000000001</v>
      </c>
      <c r="M137" s="39"/>
      <c r="N137" s="39"/>
      <c r="O137" s="39">
        <f>19.9+19.6+18.6+19.9+18.9</f>
        <v>96.9</v>
      </c>
      <c r="P137" s="39"/>
      <c r="Q137" s="39"/>
      <c r="R137" s="39"/>
      <c r="S137" s="39"/>
      <c r="T137" s="39"/>
      <c r="U137" s="39"/>
      <c r="V137" s="39"/>
      <c r="W137" s="92"/>
    </row>
    <row r="138" spans="1:23" s="79" customFormat="1" ht="38.25" x14ac:dyDescent="0.2">
      <c r="A138" s="1" t="s">
        <v>127</v>
      </c>
      <c r="B138" s="2" t="s">
        <v>16</v>
      </c>
      <c r="C138" s="2" t="s">
        <v>128</v>
      </c>
      <c r="D138" s="2" t="s">
        <v>129</v>
      </c>
      <c r="E138" s="2">
        <v>2023</v>
      </c>
      <c r="F138" s="2" t="s">
        <v>276</v>
      </c>
      <c r="G138" s="2" t="s">
        <v>3095</v>
      </c>
      <c r="H138" s="2" t="s">
        <v>3092</v>
      </c>
      <c r="I138" s="1" t="s">
        <v>14</v>
      </c>
      <c r="J138" s="1" t="s">
        <v>4475</v>
      </c>
      <c r="K138" s="17"/>
      <c r="L138" s="54">
        <v>0.26700000000000002</v>
      </c>
      <c r="M138" s="39"/>
      <c r="N138" s="39"/>
      <c r="O138" s="39">
        <f>20.2+19.7+19.6+22.4+16.3+19.7+19.2+20.6</f>
        <v>157.69999999999999</v>
      </c>
      <c r="P138" s="39"/>
      <c r="Q138" s="39"/>
      <c r="R138" s="39"/>
      <c r="S138" s="39"/>
      <c r="T138" s="39"/>
      <c r="U138" s="39"/>
      <c r="V138" s="39"/>
      <c r="W138" s="92"/>
    </row>
    <row r="139" spans="1:23" s="79" customFormat="1" ht="25.5" x14ac:dyDescent="0.2">
      <c r="A139" s="1" t="s">
        <v>127</v>
      </c>
      <c r="B139" s="2" t="s">
        <v>16</v>
      </c>
      <c r="C139" s="2" t="s">
        <v>128</v>
      </c>
      <c r="D139" s="2" t="s">
        <v>129</v>
      </c>
      <c r="E139" s="2">
        <v>2023</v>
      </c>
      <c r="F139" s="2" t="s">
        <v>291</v>
      </c>
      <c r="G139" s="2" t="s">
        <v>3095</v>
      </c>
      <c r="H139" s="2" t="s">
        <v>3092</v>
      </c>
      <c r="I139" s="1" t="s">
        <v>14</v>
      </c>
      <c r="J139" s="1" t="s">
        <v>4476</v>
      </c>
      <c r="K139" s="17"/>
      <c r="L139" s="54">
        <v>0.34899999999999998</v>
      </c>
      <c r="M139" s="39"/>
      <c r="N139" s="39"/>
      <c r="O139" s="39">
        <f>18.3+20.5+19.5+18.7+20.6+19.3</f>
        <v>116.89999999999999</v>
      </c>
      <c r="P139" s="39"/>
      <c r="Q139" s="39"/>
      <c r="R139" s="39"/>
      <c r="S139" s="39"/>
      <c r="T139" s="39"/>
      <c r="U139" s="39"/>
      <c r="V139" s="39"/>
      <c r="W139" s="92"/>
    </row>
    <row r="140" spans="1:23" s="79" customFormat="1" ht="38.25" x14ac:dyDescent="0.2">
      <c r="A140" s="1" t="s">
        <v>127</v>
      </c>
      <c r="B140" s="2" t="s">
        <v>16</v>
      </c>
      <c r="C140" s="2" t="s">
        <v>128</v>
      </c>
      <c r="D140" s="2" t="s">
        <v>129</v>
      </c>
      <c r="E140" s="2">
        <v>2023</v>
      </c>
      <c r="F140" s="2" t="s">
        <v>311</v>
      </c>
      <c r="G140" s="2" t="s">
        <v>3095</v>
      </c>
      <c r="H140" s="2" t="s">
        <v>3092</v>
      </c>
      <c r="I140" s="1" t="s">
        <v>14</v>
      </c>
      <c r="J140" s="1" t="s">
        <v>4477</v>
      </c>
      <c r="K140" s="17"/>
      <c r="L140" s="54">
        <v>0.29299999999999998</v>
      </c>
      <c r="M140" s="39"/>
      <c r="N140" s="39"/>
      <c r="O140" s="39">
        <f>21+19.8+19.8+19.8+20.4</f>
        <v>100.79999999999998</v>
      </c>
      <c r="P140" s="39"/>
      <c r="Q140" s="39"/>
      <c r="R140" s="39"/>
      <c r="S140" s="39"/>
      <c r="T140" s="39"/>
      <c r="U140" s="39"/>
      <c r="V140" s="39"/>
      <c r="W140" s="92"/>
    </row>
    <row r="141" spans="1:23" s="79" customFormat="1" ht="25.5" x14ac:dyDescent="0.2">
      <c r="A141" s="1" t="s">
        <v>127</v>
      </c>
      <c r="B141" s="2" t="s">
        <v>16</v>
      </c>
      <c r="C141" s="2" t="s">
        <v>128</v>
      </c>
      <c r="D141" s="2" t="s">
        <v>129</v>
      </c>
      <c r="E141" s="2">
        <v>2023</v>
      </c>
      <c r="F141" s="2" t="s">
        <v>337</v>
      </c>
      <c r="G141" s="2" t="s">
        <v>3095</v>
      </c>
      <c r="H141" s="2" t="s">
        <v>3092</v>
      </c>
      <c r="I141" s="1" t="s">
        <v>14</v>
      </c>
      <c r="J141" s="1" t="s">
        <v>4478</v>
      </c>
      <c r="K141" s="17"/>
      <c r="L141" s="54">
        <v>0.27</v>
      </c>
      <c r="M141" s="39"/>
      <c r="N141" s="39"/>
      <c r="O141" s="39">
        <f>18.5+19.7+19.9+19.4+20.2+19.5</f>
        <v>117.2</v>
      </c>
      <c r="P141" s="39"/>
      <c r="Q141" s="39"/>
      <c r="R141" s="39"/>
      <c r="S141" s="39"/>
      <c r="T141" s="39"/>
      <c r="U141" s="39"/>
      <c r="V141" s="39"/>
      <c r="W141" s="92"/>
    </row>
    <row r="142" spans="1:23" s="79" customFormat="1" ht="38.25" x14ac:dyDescent="0.2">
      <c r="A142" s="1" t="s">
        <v>127</v>
      </c>
      <c r="B142" s="2" t="s">
        <v>16</v>
      </c>
      <c r="C142" s="2" t="s">
        <v>128</v>
      </c>
      <c r="D142" s="2" t="s">
        <v>129</v>
      </c>
      <c r="E142" s="2">
        <v>2023</v>
      </c>
      <c r="F142" s="2" t="s">
        <v>364</v>
      </c>
      <c r="G142" s="2" t="s">
        <v>3095</v>
      </c>
      <c r="H142" s="2" t="s">
        <v>3092</v>
      </c>
      <c r="I142" s="1" t="s">
        <v>14</v>
      </c>
      <c r="J142" s="1" t="s">
        <v>4479</v>
      </c>
      <c r="K142" s="17"/>
      <c r="L142" s="54">
        <v>0.26600000000000001</v>
      </c>
      <c r="M142" s="39"/>
      <c r="N142" s="39"/>
      <c r="O142" s="39">
        <f>21.3+22.3+19.4+18.3+17.9+19.6+20.5</f>
        <v>139.29999999999998</v>
      </c>
      <c r="P142" s="39"/>
      <c r="Q142" s="39"/>
      <c r="R142" s="39"/>
      <c r="S142" s="39"/>
      <c r="T142" s="39"/>
      <c r="U142" s="39"/>
      <c r="V142" s="39"/>
      <c r="W142" s="92"/>
    </row>
    <row r="143" spans="1:23" s="79" customFormat="1" ht="38.25" x14ac:dyDescent="0.2">
      <c r="A143" s="1" t="s">
        <v>127</v>
      </c>
      <c r="B143" s="2" t="s">
        <v>16</v>
      </c>
      <c r="C143" s="2" t="s">
        <v>128</v>
      </c>
      <c r="D143" s="2" t="s">
        <v>129</v>
      </c>
      <c r="E143" s="2">
        <v>2023</v>
      </c>
      <c r="F143" s="2" t="s">
        <v>388</v>
      </c>
      <c r="G143" s="2" t="s">
        <v>3095</v>
      </c>
      <c r="H143" s="2" t="s">
        <v>3092</v>
      </c>
      <c r="I143" s="1" t="s">
        <v>14</v>
      </c>
      <c r="J143" s="1" t="s">
        <v>4480</v>
      </c>
      <c r="K143" s="17"/>
      <c r="L143" s="54">
        <v>0.27600000000000002</v>
      </c>
      <c r="M143" s="39"/>
      <c r="N143" s="39"/>
      <c r="O143" s="39">
        <f>19.2+20.3+18.7+19.5-18.9+20.3+18.7</f>
        <v>97.800000000000011</v>
      </c>
      <c r="P143" s="39"/>
      <c r="Q143" s="39"/>
      <c r="R143" s="39"/>
      <c r="S143" s="39"/>
      <c r="T143" s="39"/>
      <c r="U143" s="39"/>
      <c r="V143" s="39"/>
      <c r="W143" s="92"/>
    </row>
    <row r="144" spans="1:23" s="79" customFormat="1" ht="51" x14ac:dyDescent="0.2">
      <c r="A144" s="1" t="s">
        <v>139</v>
      </c>
      <c r="B144" s="2" t="s">
        <v>24</v>
      </c>
      <c r="C144" s="2" t="s">
        <v>140</v>
      </c>
      <c r="D144" s="2" t="s">
        <v>141</v>
      </c>
      <c r="E144" s="2">
        <v>2023</v>
      </c>
      <c r="F144" s="2" t="s">
        <v>13</v>
      </c>
      <c r="G144" s="2" t="s">
        <v>3095</v>
      </c>
      <c r="H144" s="2" t="s">
        <v>3092</v>
      </c>
      <c r="I144" s="1" t="s">
        <v>14</v>
      </c>
      <c r="J144" s="1" t="s">
        <v>4481</v>
      </c>
      <c r="K144" s="17"/>
      <c r="L144" s="54">
        <v>0.26400000000000001</v>
      </c>
      <c r="M144" s="15"/>
      <c r="N144" s="15"/>
      <c r="O144" s="15"/>
      <c r="P144" s="15"/>
      <c r="Q144" s="15"/>
      <c r="R144" s="15"/>
      <c r="S144" s="15">
        <v>407.9</v>
      </c>
      <c r="T144" s="15"/>
      <c r="U144" s="15"/>
      <c r="V144" s="15"/>
      <c r="W144" s="92"/>
    </row>
    <row r="145" spans="1:23" s="79" customFormat="1" ht="51" x14ac:dyDescent="0.2">
      <c r="A145" s="1" t="s">
        <v>139</v>
      </c>
      <c r="B145" s="2" t="s">
        <v>24</v>
      </c>
      <c r="C145" s="2" t="s">
        <v>140</v>
      </c>
      <c r="D145" s="2" t="s">
        <v>141</v>
      </c>
      <c r="E145" s="2">
        <v>2023</v>
      </c>
      <c r="F145" s="2" t="s">
        <v>188</v>
      </c>
      <c r="G145" s="2" t="s">
        <v>3095</v>
      </c>
      <c r="H145" s="2" t="s">
        <v>3092</v>
      </c>
      <c r="I145" s="1" t="s">
        <v>14</v>
      </c>
      <c r="J145" s="1" t="s">
        <v>4482</v>
      </c>
      <c r="K145" s="17"/>
      <c r="L145" s="80">
        <v>0.27500000000000002</v>
      </c>
      <c r="M145" s="15"/>
      <c r="N145" s="15"/>
      <c r="O145" s="15"/>
      <c r="P145" s="15"/>
      <c r="Q145" s="15"/>
      <c r="R145" s="15"/>
      <c r="S145" s="15">
        <v>342</v>
      </c>
      <c r="T145" s="15"/>
      <c r="U145" s="15"/>
      <c r="V145" s="15"/>
      <c r="W145" s="92"/>
    </row>
    <row r="146" spans="1:23" s="79" customFormat="1" ht="51" x14ac:dyDescent="0.2">
      <c r="A146" s="1" t="s">
        <v>139</v>
      </c>
      <c r="B146" s="2" t="s">
        <v>24</v>
      </c>
      <c r="C146" s="2" t="s">
        <v>140</v>
      </c>
      <c r="D146" s="2" t="s">
        <v>141</v>
      </c>
      <c r="E146" s="2">
        <v>2023</v>
      </c>
      <c r="F146" s="2" t="s">
        <v>203</v>
      </c>
      <c r="G146" s="2" t="s">
        <v>3095</v>
      </c>
      <c r="H146" s="2" t="s">
        <v>3092</v>
      </c>
      <c r="I146" s="1" t="s">
        <v>14</v>
      </c>
      <c r="J146" s="1" t="s">
        <v>4483</v>
      </c>
      <c r="K146" s="17"/>
      <c r="L146" s="54">
        <v>0.25900000000000001</v>
      </c>
      <c r="M146" s="39"/>
      <c r="N146" s="39"/>
      <c r="O146" s="39"/>
      <c r="P146" s="39"/>
      <c r="Q146" s="39"/>
      <c r="R146" s="39"/>
      <c r="S146" s="39">
        <v>356.1</v>
      </c>
      <c r="T146" s="39"/>
      <c r="U146" s="39"/>
      <c r="V146" s="39"/>
      <c r="W146" s="92"/>
    </row>
    <row r="147" spans="1:23" s="79" customFormat="1" ht="63.75" x14ac:dyDescent="0.2">
      <c r="A147" s="1" t="s">
        <v>139</v>
      </c>
      <c r="B147" s="2" t="s">
        <v>24</v>
      </c>
      <c r="C147" s="2" t="s">
        <v>140</v>
      </c>
      <c r="D147" s="2" t="s">
        <v>141</v>
      </c>
      <c r="E147" s="2">
        <v>2023</v>
      </c>
      <c r="F147" s="2" t="s">
        <v>211</v>
      </c>
      <c r="G147" s="2" t="s">
        <v>3095</v>
      </c>
      <c r="H147" s="2" t="s">
        <v>3092</v>
      </c>
      <c r="I147" s="1" t="s">
        <v>14</v>
      </c>
      <c r="J147" s="1" t="s">
        <v>4484</v>
      </c>
      <c r="K147" s="17"/>
      <c r="L147" s="54">
        <v>0.26500000000000001</v>
      </c>
      <c r="M147" s="39"/>
      <c r="N147" s="39"/>
      <c r="O147" s="39"/>
      <c r="P147" s="39"/>
      <c r="Q147" s="39"/>
      <c r="R147" s="39"/>
      <c r="S147" s="39">
        <v>198.8</v>
      </c>
      <c r="T147" s="39"/>
      <c r="U147" s="39"/>
      <c r="V147" s="39"/>
      <c r="W147" s="92"/>
    </row>
    <row r="148" spans="1:23" s="79" customFormat="1" ht="51" x14ac:dyDescent="0.2">
      <c r="A148" s="1" t="s">
        <v>139</v>
      </c>
      <c r="B148" s="2" t="s">
        <v>24</v>
      </c>
      <c r="C148" s="2" t="s">
        <v>140</v>
      </c>
      <c r="D148" s="2" t="s">
        <v>141</v>
      </c>
      <c r="E148" s="2">
        <v>2023</v>
      </c>
      <c r="F148" s="2" t="s">
        <v>221</v>
      </c>
      <c r="G148" s="2" t="s">
        <v>3095</v>
      </c>
      <c r="H148" s="2" t="s">
        <v>3092</v>
      </c>
      <c r="I148" s="1" t="s">
        <v>14</v>
      </c>
      <c r="J148" s="1" t="s">
        <v>4485</v>
      </c>
      <c r="K148" s="17"/>
      <c r="L148" s="54">
        <v>0.26100000000000001</v>
      </c>
      <c r="M148" s="39"/>
      <c r="N148" s="39"/>
      <c r="O148" s="39"/>
      <c r="P148" s="39"/>
      <c r="Q148" s="39"/>
      <c r="R148" s="39"/>
      <c r="S148" s="39">
        <v>428.3</v>
      </c>
      <c r="T148" s="39"/>
      <c r="U148" s="39"/>
      <c r="V148" s="39"/>
      <c r="W148" s="92"/>
    </row>
    <row r="149" spans="1:23" s="79" customFormat="1" ht="51" x14ac:dyDescent="0.2">
      <c r="A149" s="1" t="s">
        <v>139</v>
      </c>
      <c r="B149" s="2" t="s">
        <v>24</v>
      </c>
      <c r="C149" s="2" t="s">
        <v>140</v>
      </c>
      <c r="D149" s="2" t="s">
        <v>141</v>
      </c>
      <c r="E149" s="2">
        <v>2023</v>
      </c>
      <c r="F149" s="2" t="s">
        <v>256</v>
      </c>
      <c r="G149" s="2" t="s">
        <v>3095</v>
      </c>
      <c r="H149" s="2" t="s">
        <v>3092</v>
      </c>
      <c r="I149" s="1" t="s">
        <v>14</v>
      </c>
      <c r="J149" s="1" t="s">
        <v>4486</v>
      </c>
      <c r="K149" s="17"/>
      <c r="L149" s="54">
        <v>0.26200000000000001</v>
      </c>
      <c r="M149" s="39"/>
      <c r="N149" s="39"/>
      <c r="O149" s="39"/>
      <c r="P149" s="39"/>
      <c r="Q149" s="39"/>
      <c r="R149" s="39"/>
      <c r="S149" s="39">
        <v>462.6</v>
      </c>
      <c r="T149" s="39"/>
      <c r="U149" s="39"/>
      <c r="V149" s="39"/>
      <c r="W149" s="92"/>
    </row>
    <row r="150" spans="1:23" s="79" customFormat="1" ht="51" x14ac:dyDescent="0.2">
      <c r="A150" s="1" t="s">
        <v>139</v>
      </c>
      <c r="B150" s="2" t="s">
        <v>24</v>
      </c>
      <c r="C150" s="2" t="s">
        <v>140</v>
      </c>
      <c r="D150" s="2" t="s">
        <v>141</v>
      </c>
      <c r="E150" s="2">
        <v>2023</v>
      </c>
      <c r="F150" s="2" t="s">
        <v>276</v>
      </c>
      <c r="G150" s="2" t="s">
        <v>3095</v>
      </c>
      <c r="H150" s="2" t="s">
        <v>3092</v>
      </c>
      <c r="I150" s="1" t="s">
        <v>14</v>
      </c>
      <c r="J150" s="1" t="s">
        <v>4487</v>
      </c>
      <c r="K150" s="17"/>
      <c r="L150" s="54">
        <v>0.27600000000000002</v>
      </c>
      <c r="M150" s="39"/>
      <c r="N150" s="39"/>
      <c r="O150" s="39"/>
      <c r="P150" s="39"/>
      <c r="Q150" s="39"/>
      <c r="R150" s="39"/>
      <c r="S150" s="39">
        <v>429.6</v>
      </c>
      <c r="T150" s="39"/>
      <c r="U150" s="39"/>
      <c r="V150" s="39"/>
      <c r="W150" s="92"/>
    </row>
    <row r="151" spans="1:23" s="79" customFormat="1" ht="51" x14ac:dyDescent="0.2">
      <c r="A151" s="1" t="s">
        <v>139</v>
      </c>
      <c r="B151" s="2" t="s">
        <v>24</v>
      </c>
      <c r="C151" s="2" t="s">
        <v>140</v>
      </c>
      <c r="D151" s="2" t="s">
        <v>141</v>
      </c>
      <c r="E151" s="2">
        <v>2023</v>
      </c>
      <c r="F151" s="2" t="s">
        <v>291</v>
      </c>
      <c r="G151" s="2" t="s">
        <v>3095</v>
      </c>
      <c r="H151" s="2" t="s">
        <v>3092</v>
      </c>
      <c r="I151" s="1" t="s">
        <v>14</v>
      </c>
      <c r="J151" s="1" t="s">
        <v>4488</v>
      </c>
      <c r="K151" s="17"/>
      <c r="L151" s="54">
        <v>0.26300000000000001</v>
      </c>
      <c r="M151" s="3"/>
      <c r="N151" s="39"/>
      <c r="O151" s="39"/>
      <c r="P151" s="39"/>
      <c r="Q151" s="39"/>
      <c r="R151" s="39"/>
      <c r="S151" s="39">
        <v>414.5</v>
      </c>
      <c r="T151" s="39"/>
      <c r="U151" s="39"/>
      <c r="V151" s="3"/>
      <c r="W151" s="92"/>
    </row>
    <row r="152" spans="1:23" s="79" customFormat="1" ht="51" x14ac:dyDescent="0.2">
      <c r="A152" s="1" t="s">
        <v>139</v>
      </c>
      <c r="B152" s="2" t="s">
        <v>24</v>
      </c>
      <c r="C152" s="2" t="s">
        <v>140</v>
      </c>
      <c r="D152" s="2" t="s">
        <v>141</v>
      </c>
      <c r="E152" s="2">
        <v>2023</v>
      </c>
      <c r="F152" s="2" t="s">
        <v>311</v>
      </c>
      <c r="G152" s="2" t="s">
        <v>3095</v>
      </c>
      <c r="H152" s="2" t="s">
        <v>3092</v>
      </c>
      <c r="I152" s="1" t="s">
        <v>14</v>
      </c>
      <c r="J152" s="1" t="s">
        <v>4489</v>
      </c>
      <c r="K152" s="17"/>
      <c r="L152" s="54">
        <v>0.247</v>
      </c>
      <c r="M152" s="39"/>
      <c r="N152" s="39"/>
      <c r="O152" s="39"/>
      <c r="P152" s="39"/>
      <c r="Q152" s="39"/>
      <c r="R152" s="39"/>
      <c r="S152" s="39">
        <v>323.5</v>
      </c>
      <c r="T152" s="39"/>
      <c r="U152" s="39"/>
      <c r="V152" s="39"/>
      <c r="W152" s="92"/>
    </row>
    <row r="153" spans="1:23" s="79" customFormat="1" ht="51" x14ac:dyDescent="0.2">
      <c r="A153" s="1" t="s">
        <v>139</v>
      </c>
      <c r="B153" s="2" t="s">
        <v>24</v>
      </c>
      <c r="C153" s="2" t="s">
        <v>140</v>
      </c>
      <c r="D153" s="2" t="s">
        <v>141</v>
      </c>
      <c r="E153" s="2">
        <v>2023</v>
      </c>
      <c r="F153" s="2" t="s">
        <v>337</v>
      </c>
      <c r="G153" s="2" t="s">
        <v>3095</v>
      </c>
      <c r="H153" s="2" t="s">
        <v>3092</v>
      </c>
      <c r="I153" s="1" t="s">
        <v>14</v>
      </c>
      <c r="J153" s="1" t="s">
        <v>4490</v>
      </c>
      <c r="K153" s="17"/>
      <c r="L153" s="54">
        <v>0.22600000000000001</v>
      </c>
      <c r="M153" s="39"/>
      <c r="N153" s="39"/>
      <c r="O153" s="39"/>
      <c r="P153" s="39"/>
      <c r="Q153" s="39"/>
      <c r="R153" s="39"/>
      <c r="S153" s="39">
        <v>442.5</v>
      </c>
      <c r="T153" s="39"/>
      <c r="U153" s="39"/>
      <c r="V153" s="39"/>
      <c r="W153" s="92"/>
    </row>
    <row r="154" spans="1:23" s="79" customFormat="1" ht="51" x14ac:dyDescent="0.2">
      <c r="A154" s="1" t="s">
        <v>139</v>
      </c>
      <c r="B154" s="2" t="s">
        <v>24</v>
      </c>
      <c r="C154" s="2" t="s">
        <v>140</v>
      </c>
      <c r="D154" s="2" t="s">
        <v>141</v>
      </c>
      <c r="E154" s="2">
        <v>2023</v>
      </c>
      <c r="F154" s="2" t="s">
        <v>364</v>
      </c>
      <c r="G154" s="2" t="s">
        <v>3095</v>
      </c>
      <c r="H154" s="2" t="s">
        <v>3092</v>
      </c>
      <c r="I154" s="1" t="s">
        <v>14</v>
      </c>
      <c r="J154" s="1" t="s">
        <v>4491</v>
      </c>
      <c r="K154" s="17"/>
      <c r="L154" s="54">
        <v>0.214</v>
      </c>
      <c r="M154" s="39"/>
      <c r="N154" s="39"/>
      <c r="O154" s="39"/>
      <c r="P154" s="39"/>
      <c r="Q154" s="39"/>
      <c r="R154" s="39"/>
      <c r="S154" s="39">
        <v>513.4</v>
      </c>
      <c r="T154" s="39"/>
      <c r="U154" s="39"/>
      <c r="V154" s="39"/>
      <c r="W154" s="92"/>
    </row>
    <row r="155" spans="1:23" s="79" customFormat="1" ht="51" x14ac:dyDescent="0.2">
      <c r="A155" s="1" t="s">
        <v>139</v>
      </c>
      <c r="B155" s="2" t="s">
        <v>24</v>
      </c>
      <c r="C155" s="2" t="s">
        <v>140</v>
      </c>
      <c r="D155" s="2" t="s">
        <v>141</v>
      </c>
      <c r="E155" s="2">
        <v>2023</v>
      </c>
      <c r="F155" s="2" t="s">
        <v>388</v>
      </c>
      <c r="G155" s="2" t="s">
        <v>3095</v>
      </c>
      <c r="H155" s="2" t="s">
        <v>3092</v>
      </c>
      <c r="I155" s="1" t="s">
        <v>14</v>
      </c>
      <c r="J155" s="1" t="s">
        <v>4492</v>
      </c>
      <c r="K155" s="17"/>
      <c r="L155" s="54">
        <v>0.217</v>
      </c>
      <c r="M155" s="39"/>
      <c r="N155" s="39"/>
      <c r="O155" s="39"/>
      <c r="P155" s="39"/>
      <c r="Q155" s="39"/>
      <c r="R155" s="39"/>
      <c r="S155" s="39">
        <v>421.6</v>
      </c>
      <c r="T155" s="39"/>
      <c r="U155" s="39"/>
      <c r="V155" s="39"/>
      <c r="W155" s="92"/>
    </row>
    <row r="156" spans="1:23" s="79" customFormat="1" ht="63.75" x14ac:dyDescent="0.2">
      <c r="A156" s="1" t="s">
        <v>4493</v>
      </c>
      <c r="B156" s="2" t="s">
        <v>232</v>
      </c>
      <c r="C156" s="2" t="s">
        <v>4494</v>
      </c>
      <c r="D156" s="2" t="s">
        <v>230</v>
      </c>
      <c r="E156" s="2">
        <v>2023</v>
      </c>
      <c r="F156" s="2" t="s">
        <v>388</v>
      </c>
      <c r="G156" s="2" t="s">
        <v>3092</v>
      </c>
      <c r="H156" s="2" t="s">
        <v>3092</v>
      </c>
      <c r="I156" s="1" t="s">
        <v>4495</v>
      </c>
      <c r="J156" s="1" t="s">
        <v>4496</v>
      </c>
      <c r="K156" s="17"/>
      <c r="L156" s="80"/>
      <c r="M156" s="15"/>
      <c r="N156" s="15"/>
      <c r="O156" s="15"/>
      <c r="P156" s="15"/>
      <c r="Q156" s="15"/>
      <c r="R156" s="15"/>
      <c r="S156" s="15"/>
      <c r="T156" s="15"/>
      <c r="U156" s="15"/>
      <c r="V156" s="15"/>
      <c r="W156" s="92" t="s">
        <v>4497</v>
      </c>
    </row>
    <row r="157" spans="1:23" s="79" customFormat="1" ht="25.5" x14ac:dyDescent="0.2">
      <c r="A157" s="1" t="s">
        <v>199</v>
      </c>
      <c r="B157" s="2" t="s">
        <v>200</v>
      </c>
      <c r="C157" s="2" t="s">
        <v>201</v>
      </c>
      <c r="D157" s="2" t="s">
        <v>202</v>
      </c>
      <c r="E157" s="2">
        <v>2023</v>
      </c>
      <c r="F157" s="2" t="s">
        <v>203</v>
      </c>
      <c r="G157" s="2" t="s">
        <v>3092</v>
      </c>
      <c r="H157" s="2" t="s">
        <v>3092</v>
      </c>
      <c r="I157" s="1" t="s">
        <v>4498</v>
      </c>
      <c r="J157" s="1" t="s">
        <v>4499</v>
      </c>
      <c r="K157" s="17"/>
      <c r="L157" s="54"/>
      <c r="M157" s="39"/>
      <c r="N157" s="39"/>
      <c r="O157" s="39"/>
      <c r="P157" s="39"/>
      <c r="Q157" s="39"/>
      <c r="R157" s="39"/>
      <c r="S157" s="39"/>
      <c r="T157" s="39"/>
      <c r="U157" s="39"/>
      <c r="V157" s="39"/>
      <c r="W157" s="92" t="s">
        <v>1694</v>
      </c>
    </row>
    <row r="158" spans="1:23" s="79" customFormat="1" ht="25.5" x14ac:dyDescent="0.2">
      <c r="A158" s="1" t="s">
        <v>199</v>
      </c>
      <c r="B158" s="2" t="s">
        <v>200</v>
      </c>
      <c r="C158" s="2" t="s">
        <v>201</v>
      </c>
      <c r="D158" s="2" t="s">
        <v>202</v>
      </c>
      <c r="E158" s="2">
        <v>2023</v>
      </c>
      <c r="F158" s="2" t="s">
        <v>256</v>
      </c>
      <c r="G158" s="2" t="s">
        <v>3092</v>
      </c>
      <c r="H158" s="2" t="s">
        <v>3092</v>
      </c>
      <c r="I158" s="1" t="s">
        <v>4500</v>
      </c>
      <c r="J158" s="1" t="s">
        <v>995</v>
      </c>
      <c r="K158" s="17"/>
      <c r="L158" s="54"/>
      <c r="M158" s="39"/>
      <c r="N158" s="39"/>
      <c r="O158" s="39"/>
      <c r="P158" s="39"/>
      <c r="Q158" s="39"/>
      <c r="R158" s="39"/>
      <c r="S158" s="39"/>
      <c r="T158" s="39"/>
      <c r="U158" s="39"/>
      <c r="V158" s="39"/>
      <c r="W158" s="92" t="s">
        <v>1694</v>
      </c>
    </row>
    <row r="159" spans="1:23" s="79" customFormat="1" ht="25.5" x14ac:dyDescent="0.2">
      <c r="A159" s="1" t="s">
        <v>199</v>
      </c>
      <c r="B159" s="2" t="s">
        <v>200</v>
      </c>
      <c r="C159" s="2" t="s">
        <v>201</v>
      </c>
      <c r="D159" s="2" t="s">
        <v>202</v>
      </c>
      <c r="E159" s="2">
        <v>2023</v>
      </c>
      <c r="F159" s="2" t="s">
        <v>364</v>
      </c>
      <c r="G159" s="2" t="s">
        <v>3092</v>
      </c>
      <c r="H159" s="2" t="s">
        <v>3092</v>
      </c>
      <c r="I159" s="1" t="s">
        <v>4501</v>
      </c>
      <c r="J159" s="1" t="s">
        <v>995</v>
      </c>
      <c r="K159" s="17"/>
      <c r="L159" s="54"/>
      <c r="M159" s="39"/>
      <c r="N159" s="39"/>
      <c r="O159" s="39"/>
      <c r="P159" s="39"/>
      <c r="Q159" s="39"/>
      <c r="R159" s="39"/>
      <c r="S159" s="39"/>
      <c r="T159" s="39"/>
      <c r="U159" s="39"/>
      <c r="V159" s="39"/>
      <c r="W159" s="92" t="s">
        <v>1694</v>
      </c>
    </row>
    <row r="160" spans="1:23" s="79" customFormat="1" ht="51" x14ac:dyDescent="0.2">
      <c r="A160" s="1" t="s">
        <v>258</v>
      </c>
      <c r="B160" s="2" t="s">
        <v>232</v>
      </c>
      <c r="C160" s="2" t="s">
        <v>259</v>
      </c>
      <c r="D160" s="2" t="s">
        <v>108</v>
      </c>
      <c r="E160" s="2">
        <v>2023</v>
      </c>
      <c r="F160" s="2" t="s">
        <v>276</v>
      </c>
      <c r="G160" s="2" t="s">
        <v>3092</v>
      </c>
      <c r="H160" s="2" t="s">
        <v>3092</v>
      </c>
      <c r="I160" s="1" t="s">
        <v>4502</v>
      </c>
      <c r="J160" s="1" t="s">
        <v>4503</v>
      </c>
      <c r="K160" s="17"/>
      <c r="L160" s="54" t="s">
        <v>1670</v>
      </c>
      <c r="M160" s="15"/>
      <c r="N160" s="15"/>
      <c r="O160" s="15"/>
      <c r="P160" s="15"/>
      <c r="Q160" s="15"/>
      <c r="R160" s="15"/>
      <c r="S160" s="15"/>
      <c r="T160" s="15"/>
      <c r="U160" s="15"/>
      <c r="V160" s="15">
        <v>63.8</v>
      </c>
      <c r="W160" s="92" t="s">
        <v>1699</v>
      </c>
    </row>
    <row r="161" spans="1:23" s="79" customFormat="1" ht="25.5" x14ac:dyDescent="0.2">
      <c r="A161" s="1" t="s">
        <v>258</v>
      </c>
      <c r="B161" s="2" t="s">
        <v>232</v>
      </c>
      <c r="C161" s="2" t="s">
        <v>259</v>
      </c>
      <c r="D161" s="2" t="s">
        <v>108</v>
      </c>
      <c r="E161" s="2">
        <v>2023</v>
      </c>
      <c r="F161" s="2" t="s">
        <v>364</v>
      </c>
      <c r="G161" s="2" t="s">
        <v>3092</v>
      </c>
      <c r="H161" s="2" t="s">
        <v>3092</v>
      </c>
      <c r="I161" s="1" t="s">
        <v>4504</v>
      </c>
      <c r="J161" s="1" t="s">
        <v>4505</v>
      </c>
      <c r="K161" s="17"/>
      <c r="L161" s="54" t="s">
        <v>1670</v>
      </c>
      <c r="M161" s="39"/>
      <c r="N161" s="39"/>
      <c r="O161" s="39"/>
      <c r="P161" s="39"/>
      <c r="Q161" s="39"/>
      <c r="R161" s="39"/>
      <c r="S161" s="39"/>
      <c r="T161" s="39"/>
      <c r="U161" s="39"/>
      <c r="V161" s="39">
        <v>51</v>
      </c>
      <c r="W161" s="92" t="s">
        <v>1699</v>
      </c>
    </row>
    <row r="162" spans="1:23" s="79" customFormat="1" ht="51" x14ac:dyDescent="0.2">
      <c r="A162" s="1" t="s">
        <v>205</v>
      </c>
      <c r="B162" s="2" t="s">
        <v>196</v>
      </c>
      <c r="C162" s="2" t="s">
        <v>206</v>
      </c>
      <c r="D162" s="2" t="s">
        <v>121</v>
      </c>
      <c r="E162" s="2">
        <v>2023</v>
      </c>
      <c r="F162" s="2" t="s">
        <v>276</v>
      </c>
      <c r="G162" s="2" t="s">
        <v>3092</v>
      </c>
      <c r="H162" s="2" t="s">
        <v>3092</v>
      </c>
      <c r="I162" s="1" t="s">
        <v>4506</v>
      </c>
      <c r="J162" s="1" t="s">
        <v>4507</v>
      </c>
      <c r="K162" s="17"/>
      <c r="L162" s="54">
        <v>0.3306</v>
      </c>
      <c r="M162" s="39"/>
      <c r="N162" s="39"/>
      <c r="O162" s="39">
        <v>735.92</v>
      </c>
      <c r="P162" s="39"/>
      <c r="Q162" s="39"/>
      <c r="R162" s="39"/>
      <c r="S162" s="39"/>
      <c r="T162" s="39"/>
      <c r="U162" s="39"/>
      <c r="V162" s="39"/>
      <c r="W162" s="92"/>
    </row>
    <row r="163" spans="1:23" s="79" customFormat="1" ht="25.5" x14ac:dyDescent="0.2">
      <c r="A163" s="1" t="s">
        <v>409</v>
      </c>
      <c r="B163" s="2" t="s">
        <v>32</v>
      </c>
      <c r="C163" s="2" t="s">
        <v>410</v>
      </c>
      <c r="D163" s="2" t="s">
        <v>243</v>
      </c>
      <c r="E163" s="2">
        <v>2023</v>
      </c>
      <c r="F163" s="2" t="s">
        <v>364</v>
      </c>
      <c r="G163" s="2" t="s">
        <v>3095</v>
      </c>
      <c r="H163" s="2" t="s">
        <v>3092</v>
      </c>
      <c r="I163" s="1" t="s">
        <v>14</v>
      </c>
      <c r="J163" s="1" t="s">
        <v>4508</v>
      </c>
      <c r="K163" s="17"/>
      <c r="L163" s="54">
        <v>0.35</v>
      </c>
      <c r="M163" s="39"/>
      <c r="N163" s="39"/>
      <c r="O163" s="39"/>
      <c r="P163" s="39"/>
      <c r="Q163" s="39"/>
      <c r="R163" s="39">
        <v>72</v>
      </c>
      <c r="S163" s="39"/>
      <c r="T163" s="39"/>
      <c r="U163" s="39"/>
      <c r="V163" s="39"/>
      <c r="W163" s="92" t="s">
        <v>4509</v>
      </c>
    </row>
    <row r="164" spans="1:23" s="79" customFormat="1" ht="51" x14ac:dyDescent="0.2">
      <c r="A164" s="1" t="s">
        <v>1161</v>
      </c>
      <c r="B164" s="2" t="s">
        <v>198</v>
      </c>
      <c r="C164" s="2" t="s">
        <v>1162</v>
      </c>
      <c r="D164" s="2" t="s">
        <v>234</v>
      </c>
      <c r="E164" s="2">
        <v>2023</v>
      </c>
      <c r="F164" s="2" t="s">
        <v>291</v>
      </c>
      <c r="G164" s="2" t="s">
        <v>3092</v>
      </c>
      <c r="H164" s="2" t="s">
        <v>3092</v>
      </c>
      <c r="I164" s="1" t="s">
        <v>4510</v>
      </c>
      <c r="J164" s="1" t="s">
        <v>4510</v>
      </c>
      <c r="K164" s="17"/>
      <c r="L164" s="54" t="s">
        <v>1670</v>
      </c>
      <c r="M164" s="39"/>
      <c r="N164" s="39"/>
      <c r="O164" s="39"/>
      <c r="P164" s="39"/>
      <c r="Q164" s="39"/>
      <c r="R164" s="39"/>
      <c r="S164" s="39"/>
      <c r="T164" s="39"/>
      <c r="U164" s="39"/>
      <c r="V164" s="39"/>
      <c r="W164" s="92" t="s">
        <v>1683</v>
      </c>
    </row>
    <row r="165" spans="1:23" s="79" customFormat="1" ht="114.75" x14ac:dyDescent="0.2">
      <c r="A165" s="1" t="s">
        <v>4511</v>
      </c>
      <c r="B165" s="2" t="s">
        <v>196</v>
      </c>
      <c r="C165" s="2" t="s">
        <v>4512</v>
      </c>
      <c r="D165" s="2" t="s">
        <v>305</v>
      </c>
      <c r="E165" s="2">
        <v>2023</v>
      </c>
      <c r="F165" s="2" t="s">
        <v>311</v>
      </c>
      <c r="G165" s="2" t="s">
        <v>3092</v>
      </c>
      <c r="H165" s="2" t="s">
        <v>3093</v>
      </c>
      <c r="I165" s="1" t="s">
        <v>4513</v>
      </c>
      <c r="J165" s="1" t="s">
        <v>14</v>
      </c>
      <c r="K165" s="17"/>
      <c r="L165" s="80"/>
      <c r="M165" s="15"/>
      <c r="N165" s="15"/>
      <c r="O165" s="15"/>
      <c r="P165" s="15"/>
      <c r="Q165" s="15"/>
      <c r="R165" s="15"/>
      <c r="S165" s="15"/>
      <c r="T165" s="15"/>
      <c r="U165" s="15"/>
      <c r="V165" s="15"/>
      <c r="W165" s="92" t="s">
        <v>4454</v>
      </c>
    </row>
    <row r="166" spans="1:23" s="79" customFormat="1" ht="25.5" x14ac:dyDescent="0.2">
      <c r="A166" s="1" t="s">
        <v>98</v>
      </c>
      <c r="B166" s="2" t="s">
        <v>24</v>
      </c>
      <c r="C166" s="2" t="s">
        <v>99</v>
      </c>
      <c r="D166" s="2" t="s">
        <v>100</v>
      </c>
      <c r="E166" s="2">
        <v>2023</v>
      </c>
      <c r="F166" s="2" t="s">
        <v>13</v>
      </c>
      <c r="G166" s="2" t="s">
        <v>3095</v>
      </c>
      <c r="H166" s="2" t="s">
        <v>3092</v>
      </c>
      <c r="I166" s="1" t="s">
        <v>14</v>
      </c>
      <c r="J166" s="1" t="s">
        <v>4514</v>
      </c>
      <c r="K166" s="17"/>
      <c r="L166" s="53">
        <v>0.249</v>
      </c>
      <c r="M166" s="39"/>
      <c r="N166" s="39"/>
      <c r="O166" s="39">
        <v>147.85</v>
      </c>
      <c r="P166" s="39"/>
      <c r="Q166" s="39"/>
      <c r="R166" s="39"/>
      <c r="S166" s="39"/>
      <c r="T166" s="39"/>
      <c r="U166" s="39"/>
      <c r="V166" s="39"/>
      <c r="W166" s="92" t="s">
        <v>1742</v>
      </c>
    </row>
    <row r="167" spans="1:23" s="79" customFormat="1" ht="25.5" x14ac:dyDescent="0.2">
      <c r="A167" s="1" t="s">
        <v>98</v>
      </c>
      <c r="B167" s="2" t="s">
        <v>24</v>
      </c>
      <c r="C167" s="2" t="s">
        <v>99</v>
      </c>
      <c r="D167" s="2" t="s">
        <v>100</v>
      </c>
      <c r="E167" s="2">
        <v>2023</v>
      </c>
      <c r="F167" s="2" t="s">
        <v>188</v>
      </c>
      <c r="G167" s="2" t="s">
        <v>3095</v>
      </c>
      <c r="H167" s="2" t="s">
        <v>3092</v>
      </c>
      <c r="I167" s="1" t="s">
        <v>14</v>
      </c>
      <c r="J167" s="1" t="s">
        <v>4515</v>
      </c>
      <c r="K167" s="17"/>
      <c r="L167" s="54">
        <v>0.26</v>
      </c>
      <c r="M167" s="39"/>
      <c r="N167" s="39"/>
      <c r="O167" s="39">
        <v>118</v>
      </c>
      <c r="P167" s="39"/>
      <c r="Q167" s="39"/>
      <c r="R167" s="39"/>
      <c r="S167" s="39"/>
      <c r="T167" s="39"/>
      <c r="U167" s="39"/>
      <c r="V167" s="39"/>
      <c r="W167" s="92" t="s">
        <v>1742</v>
      </c>
    </row>
    <row r="168" spans="1:23" s="79" customFormat="1" ht="25.5" x14ac:dyDescent="0.2">
      <c r="A168" s="1" t="s">
        <v>98</v>
      </c>
      <c r="B168" s="2" t="s">
        <v>24</v>
      </c>
      <c r="C168" s="2" t="s">
        <v>99</v>
      </c>
      <c r="D168" s="2" t="s">
        <v>100</v>
      </c>
      <c r="E168" s="2">
        <v>2023</v>
      </c>
      <c r="F168" s="2" t="s">
        <v>203</v>
      </c>
      <c r="G168" s="2" t="s">
        <v>3095</v>
      </c>
      <c r="H168" s="2" t="s">
        <v>3092</v>
      </c>
      <c r="I168" s="1" t="s">
        <v>14</v>
      </c>
      <c r="J168" s="1" t="s">
        <v>4516</v>
      </c>
      <c r="K168" s="17"/>
      <c r="L168" s="54">
        <v>0.23499999999999999</v>
      </c>
      <c r="M168" s="39"/>
      <c r="N168" s="39"/>
      <c r="O168" s="39">
        <v>148.1</v>
      </c>
      <c r="P168" s="39"/>
      <c r="Q168" s="39"/>
      <c r="R168" s="39"/>
      <c r="S168" s="39"/>
      <c r="T168" s="39"/>
      <c r="U168" s="39"/>
      <c r="V168" s="39"/>
      <c r="W168" s="92" t="s">
        <v>1742</v>
      </c>
    </row>
    <row r="169" spans="1:23" s="79" customFormat="1" ht="25.5" x14ac:dyDescent="0.2">
      <c r="A169" s="1" t="s">
        <v>98</v>
      </c>
      <c r="B169" s="2" t="s">
        <v>24</v>
      </c>
      <c r="C169" s="2" t="s">
        <v>99</v>
      </c>
      <c r="D169" s="2" t="s">
        <v>100</v>
      </c>
      <c r="E169" s="2">
        <v>2023</v>
      </c>
      <c r="F169" s="2" t="s">
        <v>211</v>
      </c>
      <c r="G169" s="2" t="s">
        <v>3095</v>
      </c>
      <c r="H169" s="2" t="s">
        <v>3092</v>
      </c>
      <c r="I169" s="1" t="s">
        <v>14</v>
      </c>
      <c r="J169" s="1" t="s">
        <v>4517</v>
      </c>
      <c r="K169" s="17"/>
      <c r="L169" s="54">
        <v>0.27200000000000002</v>
      </c>
      <c r="M169" s="39"/>
      <c r="N169" s="39"/>
      <c r="O169" s="39">
        <v>129.30000000000001</v>
      </c>
      <c r="P169" s="39"/>
      <c r="Q169" s="39"/>
      <c r="R169" s="39"/>
      <c r="S169" s="39"/>
      <c r="T169" s="39"/>
      <c r="U169" s="39"/>
      <c r="V169" s="39"/>
      <c r="W169" s="92" t="s">
        <v>1742</v>
      </c>
    </row>
    <row r="170" spans="1:23" s="79" customFormat="1" ht="25.5" x14ac:dyDescent="0.2">
      <c r="A170" s="1" t="s">
        <v>98</v>
      </c>
      <c r="B170" s="2" t="s">
        <v>24</v>
      </c>
      <c r="C170" s="2" t="s">
        <v>99</v>
      </c>
      <c r="D170" s="2" t="s">
        <v>100</v>
      </c>
      <c r="E170" s="2">
        <v>2023</v>
      </c>
      <c r="F170" s="2" t="s">
        <v>221</v>
      </c>
      <c r="G170" s="2" t="s">
        <v>3095</v>
      </c>
      <c r="H170" s="2" t="s">
        <v>3092</v>
      </c>
      <c r="I170" s="1" t="s">
        <v>14</v>
      </c>
      <c r="J170" s="1" t="s">
        <v>4518</v>
      </c>
      <c r="K170" s="17"/>
      <c r="L170" s="54">
        <v>0.26700000000000002</v>
      </c>
      <c r="M170" s="39"/>
      <c r="N170" s="39"/>
      <c r="O170" s="39">
        <v>193.33</v>
      </c>
      <c r="P170" s="39"/>
      <c r="Q170" s="39"/>
      <c r="R170" s="39"/>
      <c r="S170" s="39"/>
      <c r="T170" s="39"/>
      <c r="U170" s="39"/>
      <c r="V170" s="39"/>
      <c r="W170" s="92" t="s">
        <v>1742</v>
      </c>
    </row>
    <row r="171" spans="1:23" s="79" customFormat="1" ht="25.5" x14ac:dyDescent="0.2">
      <c r="A171" s="1" t="s">
        <v>98</v>
      </c>
      <c r="B171" s="2" t="s">
        <v>24</v>
      </c>
      <c r="C171" s="2" t="s">
        <v>99</v>
      </c>
      <c r="D171" s="2" t="s">
        <v>100</v>
      </c>
      <c r="E171" s="2">
        <v>2023</v>
      </c>
      <c r="F171" s="2" t="s">
        <v>256</v>
      </c>
      <c r="G171" s="2" t="s">
        <v>3095</v>
      </c>
      <c r="H171" s="2" t="s">
        <v>3092</v>
      </c>
      <c r="I171" s="1" t="s">
        <v>14</v>
      </c>
      <c r="J171" s="1" t="s">
        <v>4519</v>
      </c>
      <c r="K171" s="17"/>
      <c r="L171" s="54">
        <v>0.253</v>
      </c>
      <c r="M171" s="39"/>
      <c r="N171" s="39"/>
      <c r="O171" s="39">
        <v>233.64</v>
      </c>
      <c r="P171" s="39"/>
      <c r="Q171" s="39"/>
      <c r="R171" s="39"/>
      <c r="S171" s="39"/>
      <c r="T171" s="39"/>
      <c r="U171" s="39"/>
      <c r="V171" s="39"/>
      <c r="W171" s="92" t="s">
        <v>1742</v>
      </c>
    </row>
    <row r="172" spans="1:23" s="79" customFormat="1" ht="25.5" x14ac:dyDescent="0.2">
      <c r="A172" s="1" t="s">
        <v>98</v>
      </c>
      <c r="B172" s="2" t="s">
        <v>24</v>
      </c>
      <c r="C172" s="2" t="s">
        <v>99</v>
      </c>
      <c r="D172" s="2" t="s">
        <v>100</v>
      </c>
      <c r="E172" s="2">
        <v>2023</v>
      </c>
      <c r="F172" s="2" t="s">
        <v>276</v>
      </c>
      <c r="G172" s="2" t="s">
        <v>3095</v>
      </c>
      <c r="H172" s="2" t="s">
        <v>3092</v>
      </c>
      <c r="I172" s="1" t="s">
        <v>14</v>
      </c>
      <c r="J172" s="1" t="s">
        <v>4520</v>
      </c>
      <c r="K172" s="17"/>
      <c r="L172" s="54">
        <v>0.27200000000000002</v>
      </c>
      <c r="M172" s="39"/>
      <c r="N172" s="39"/>
      <c r="O172" s="39">
        <v>282.37</v>
      </c>
      <c r="P172" s="39"/>
      <c r="Q172" s="39"/>
      <c r="R172" s="39"/>
      <c r="S172" s="39"/>
      <c r="T172" s="39"/>
      <c r="U172" s="39"/>
      <c r="V172" s="39"/>
      <c r="W172" s="92" t="s">
        <v>1742</v>
      </c>
    </row>
    <row r="173" spans="1:23" s="79" customFormat="1" ht="25.5" x14ac:dyDescent="0.2">
      <c r="A173" s="1" t="s">
        <v>98</v>
      </c>
      <c r="B173" s="2" t="s">
        <v>24</v>
      </c>
      <c r="C173" s="2" t="s">
        <v>99</v>
      </c>
      <c r="D173" s="2" t="s">
        <v>100</v>
      </c>
      <c r="E173" s="2">
        <v>2023</v>
      </c>
      <c r="F173" s="2" t="s">
        <v>291</v>
      </c>
      <c r="G173" s="2" t="s">
        <v>3095</v>
      </c>
      <c r="H173" s="2" t="s">
        <v>3092</v>
      </c>
      <c r="I173" s="1" t="s">
        <v>14</v>
      </c>
      <c r="J173" s="1" t="s">
        <v>4521</v>
      </c>
      <c r="K173" s="17"/>
      <c r="L173" s="54">
        <v>0.25900000000000001</v>
      </c>
      <c r="M173" s="39"/>
      <c r="N173" s="39"/>
      <c r="O173" s="39">
        <v>212</v>
      </c>
      <c r="P173" s="39"/>
      <c r="Q173" s="39"/>
      <c r="R173" s="39"/>
      <c r="S173" s="39"/>
      <c r="T173" s="39"/>
      <c r="U173" s="39"/>
      <c r="V173" s="39"/>
      <c r="W173" s="92" t="s">
        <v>1742</v>
      </c>
    </row>
    <row r="174" spans="1:23" s="79" customFormat="1" ht="25.5" x14ac:dyDescent="0.2">
      <c r="A174" s="1" t="s">
        <v>98</v>
      </c>
      <c r="B174" s="2" t="s">
        <v>24</v>
      </c>
      <c r="C174" s="2" t="s">
        <v>99</v>
      </c>
      <c r="D174" s="2" t="s">
        <v>100</v>
      </c>
      <c r="E174" s="2">
        <v>2023</v>
      </c>
      <c r="F174" s="2" t="s">
        <v>311</v>
      </c>
      <c r="G174" s="2" t="s">
        <v>3095</v>
      </c>
      <c r="H174" s="2" t="s">
        <v>3092</v>
      </c>
      <c r="I174" s="1" t="s">
        <v>14</v>
      </c>
      <c r="J174" s="1" t="s">
        <v>4522</v>
      </c>
      <c r="K174" s="17"/>
      <c r="L174" s="54">
        <v>0.253</v>
      </c>
      <c r="M174" s="39"/>
      <c r="N174" s="39"/>
      <c r="O174" s="39">
        <v>252.6</v>
      </c>
      <c r="P174" s="39"/>
      <c r="Q174" s="39"/>
      <c r="R174" s="39"/>
      <c r="S174" s="39"/>
      <c r="T174" s="39"/>
      <c r="U174" s="39"/>
      <c r="V174" s="39"/>
      <c r="W174" s="92" t="s">
        <v>1742</v>
      </c>
    </row>
    <row r="175" spans="1:23" s="79" customFormat="1" ht="25.5" x14ac:dyDescent="0.2">
      <c r="A175" s="1" t="s">
        <v>98</v>
      </c>
      <c r="B175" s="2" t="s">
        <v>24</v>
      </c>
      <c r="C175" s="2" t="s">
        <v>99</v>
      </c>
      <c r="D175" s="2" t="s">
        <v>100</v>
      </c>
      <c r="E175" s="2">
        <v>2023</v>
      </c>
      <c r="F175" s="2" t="s">
        <v>337</v>
      </c>
      <c r="G175" s="2" t="s">
        <v>3095</v>
      </c>
      <c r="H175" s="2" t="s">
        <v>3092</v>
      </c>
      <c r="I175" s="1" t="s">
        <v>14</v>
      </c>
      <c r="J175" s="1" t="s">
        <v>4523</v>
      </c>
      <c r="K175" s="17"/>
      <c r="L175" s="54">
        <v>0.27300000000000002</v>
      </c>
      <c r="M175" s="39"/>
      <c r="N175" s="39"/>
      <c r="O175" s="39">
        <v>293.14</v>
      </c>
      <c r="P175" s="39"/>
      <c r="Q175" s="39"/>
      <c r="R175" s="39"/>
      <c r="S175" s="39"/>
      <c r="T175" s="39"/>
      <c r="U175" s="39"/>
      <c r="V175" s="39"/>
      <c r="W175" s="92" t="s">
        <v>1742</v>
      </c>
    </row>
    <row r="176" spans="1:23" s="79" customFormat="1" ht="25.5" x14ac:dyDescent="0.2">
      <c r="A176" s="1" t="s">
        <v>98</v>
      </c>
      <c r="B176" s="2" t="s">
        <v>24</v>
      </c>
      <c r="C176" s="2" t="s">
        <v>99</v>
      </c>
      <c r="D176" s="2" t="s">
        <v>100</v>
      </c>
      <c r="E176" s="2">
        <v>2023</v>
      </c>
      <c r="F176" s="2" t="s">
        <v>364</v>
      </c>
      <c r="G176" s="2" t="s">
        <v>3095</v>
      </c>
      <c r="H176" s="2" t="s">
        <v>3092</v>
      </c>
      <c r="I176" s="1" t="s">
        <v>14</v>
      </c>
      <c r="J176" s="1" t="s">
        <v>4524</v>
      </c>
      <c r="K176" s="17"/>
      <c r="L176" s="54">
        <v>0.24399999999999999</v>
      </c>
      <c r="M176" s="39"/>
      <c r="N176" s="39"/>
      <c r="O176" s="39">
        <v>532.99</v>
      </c>
      <c r="P176" s="39"/>
      <c r="Q176" s="39"/>
      <c r="R176" s="39"/>
      <c r="S176" s="39"/>
      <c r="T176" s="39"/>
      <c r="U176" s="39"/>
      <c r="V176" s="39"/>
      <c r="W176" s="92" t="s">
        <v>1742</v>
      </c>
    </row>
    <row r="177" spans="1:24" s="79" customFormat="1" ht="25.5" x14ac:dyDescent="0.2">
      <c r="A177" s="1" t="s">
        <v>98</v>
      </c>
      <c r="B177" s="2" t="s">
        <v>24</v>
      </c>
      <c r="C177" s="2" t="s">
        <v>99</v>
      </c>
      <c r="D177" s="2" t="s">
        <v>100</v>
      </c>
      <c r="E177" s="2">
        <v>2023</v>
      </c>
      <c r="F177" s="2" t="s">
        <v>388</v>
      </c>
      <c r="G177" s="2" t="s">
        <v>3095</v>
      </c>
      <c r="H177" s="2" t="s">
        <v>3092</v>
      </c>
      <c r="I177" s="1" t="s">
        <v>14</v>
      </c>
      <c r="J177" s="1" t="s">
        <v>4525</v>
      </c>
      <c r="K177" s="17"/>
      <c r="L177" s="54">
        <v>0.25900000000000001</v>
      </c>
      <c r="M177" s="39"/>
      <c r="N177" s="39"/>
      <c r="O177" s="39">
        <v>110.43</v>
      </c>
      <c r="P177" s="39"/>
      <c r="Q177" s="39"/>
      <c r="R177" s="39"/>
      <c r="S177" s="39"/>
      <c r="T177" s="39"/>
      <c r="U177" s="39"/>
      <c r="V177" s="57"/>
      <c r="W177" s="92" t="s">
        <v>1742</v>
      </c>
    </row>
    <row r="178" spans="1:24" s="79" customFormat="1" ht="63.75" x14ac:dyDescent="0.2">
      <c r="A178" s="1" t="s">
        <v>342</v>
      </c>
      <c r="B178" s="2" t="s">
        <v>343</v>
      </c>
      <c r="C178" s="2" t="s">
        <v>344</v>
      </c>
      <c r="D178" s="2" t="s">
        <v>187</v>
      </c>
      <c r="E178" s="2">
        <v>2023</v>
      </c>
      <c r="F178" s="2" t="s">
        <v>203</v>
      </c>
      <c r="G178" s="2" t="s">
        <v>3092</v>
      </c>
      <c r="H178" s="2" t="s">
        <v>3093</v>
      </c>
      <c r="I178" s="1" t="s">
        <v>4526</v>
      </c>
      <c r="J178" s="1" t="s">
        <v>14</v>
      </c>
      <c r="K178" s="17"/>
      <c r="L178" s="54" t="s">
        <v>1670</v>
      </c>
      <c r="M178" s="39"/>
      <c r="N178" s="39"/>
      <c r="O178" s="39"/>
      <c r="P178" s="39"/>
      <c r="Q178" s="39"/>
      <c r="R178" s="39"/>
      <c r="S178" s="39"/>
      <c r="T178" s="39"/>
      <c r="U178" s="39"/>
      <c r="V178" s="39">
        <f>4400*0.004546</f>
        <v>20.002399999999998</v>
      </c>
      <c r="W178" s="92" t="s">
        <v>4527</v>
      </c>
    </row>
    <row r="179" spans="1:24" s="79" customFormat="1" ht="51" x14ac:dyDescent="0.2">
      <c r="A179" s="1" t="s">
        <v>342</v>
      </c>
      <c r="B179" s="2" t="s">
        <v>343</v>
      </c>
      <c r="C179" s="2" t="s">
        <v>344</v>
      </c>
      <c r="D179" s="2" t="s">
        <v>187</v>
      </c>
      <c r="E179" s="2">
        <v>2023</v>
      </c>
      <c r="F179" s="2" t="s">
        <v>337</v>
      </c>
      <c r="G179" s="2" t="s">
        <v>3092</v>
      </c>
      <c r="H179" s="2" t="s">
        <v>3093</v>
      </c>
      <c r="I179" s="1" t="s">
        <v>4528</v>
      </c>
      <c r="J179" s="1" t="s">
        <v>14</v>
      </c>
      <c r="K179" s="17"/>
      <c r="L179" s="54" t="s">
        <v>1670</v>
      </c>
      <c r="M179" s="39"/>
      <c r="N179" s="39"/>
      <c r="O179" s="39"/>
      <c r="P179" s="39"/>
      <c r="Q179" s="39"/>
      <c r="R179" s="39"/>
      <c r="S179" s="39"/>
      <c r="T179" s="39"/>
      <c r="U179" s="3"/>
      <c r="V179" s="39">
        <f>25500*0.004546</f>
        <v>115.92299999999999</v>
      </c>
      <c r="W179" s="92" t="s">
        <v>4527</v>
      </c>
    </row>
    <row r="180" spans="1:24" s="79" customFormat="1" ht="38.25" x14ac:dyDescent="0.2">
      <c r="A180" s="1" t="s">
        <v>1096</v>
      </c>
      <c r="B180" s="2" t="s">
        <v>213</v>
      </c>
      <c r="C180" s="2" t="s">
        <v>344</v>
      </c>
      <c r="D180" s="2" t="s">
        <v>187</v>
      </c>
      <c r="E180" s="2">
        <v>2023</v>
      </c>
      <c r="F180" s="2" t="s">
        <v>276</v>
      </c>
      <c r="G180" s="2" t="s">
        <v>3095</v>
      </c>
      <c r="H180" s="2" t="s">
        <v>3092</v>
      </c>
      <c r="I180" s="1" t="s">
        <v>14</v>
      </c>
      <c r="J180" s="1" t="s">
        <v>4529</v>
      </c>
      <c r="K180" s="17"/>
      <c r="L180" s="54" t="s">
        <v>1670</v>
      </c>
      <c r="M180" s="39"/>
      <c r="N180" s="39"/>
      <c r="O180" s="39"/>
      <c r="P180" s="39"/>
      <c r="Q180" s="39"/>
      <c r="R180" s="39"/>
      <c r="S180" s="39"/>
      <c r="T180" s="14"/>
      <c r="U180" s="39"/>
      <c r="V180" s="39">
        <f>1900*0.004546</f>
        <v>8.6373999999999995</v>
      </c>
      <c r="W180" s="92" t="s">
        <v>4527</v>
      </c>
    </row>
    <row r="181" spans="1:24" s="79" customFormat="1" ht="38.25" x14ac:dyDescent="0.2">
      <c r="A181" s="1" t="s">
        <v>1096</v>
      </c>
      <c r="B181" s="2" t="s">
        <v>213</v>
      </c>
      <c r="C181" s="2" t="s">
        <v>344</v>
      </c>
      <c r="D181" s="2" t="s">
        <v>187</v>
      </c>
      <c r="E181" s="2">
        <v>2023</v>
      </c>
      <c r="F181" s="2" t="s">
        <v>291</v>
      </c>
      <c r="G181" s="2" t="s">
        <v>3095</v>
      </c>
      <c r="H181" s="2" t="s">
        <v>3092</v>
      </c>
      <c r="I181" s="1" t="s">
        <v>14</v>
      </c>
      <c r="J181" s="1" t="s">
        <v>4530</v>
      </c>
      <c r="K181" s="17"/>
      <c r="L181" s="54" t="s">
        <v>1670</v>
      </c>
      <c r="M181" s="39"/>
      <c r="N181" s="39"/>
      <c r="O181" s="39"/>
      <c r="P181" s="39"/>
      <c r="Q181" s="39"/>
      <c r="R181" s="39"/>
      <c r="S181" s="39"/>
      <c r="T181" s="39"/>
      <c r="U181" s="39"/>
      <c r="V181" s="39">
        <f>1700*0.004546</f>
        <v>7.7281999999999993</v>
      </c>
      <c r="W181" s="92" t="s">
        <v>4527</v>
      </c>
    </row>
    <row r="182" spans="1:24" s="79" customFormat="1" ht="38.25" x14ac:dyDescent="0.2">
      <c r="A182" s="1" t="s">
        <v>1096</v>
      </c>
      <c r="B182" s="2" t="s">
        <v>213</v>
      </c>
      <c r="C182" s="2" t="s">
        <v>344</v>
      </c>
      <c r="D182" s="2" t="s">
        <v>187</v>
      </c>
      <c r="E182" s="2">
        <v>2023</v>
      </c>
      <c r="F182" s="2" t="s">
        <v>388</v>
      </c>
      <c r="G182" s="2" t="s">
        <v>3095</v>
      </c>
      <c r="H182" s="2" t="s">
        <v>3092</v>
      </c>
      <c r="I182" s="1" t="s">
        <v>14</v>
      </c>
      <c r="J182" s="1" t="s">
        <v>4531</v>
      </c>
      <c r="K182" s="17"/>
      <c r="L182" s="54" t="s">
        <v>1670</v>
      </c>
      <c r="M182" s="59"/>
      <c r="N182" s="59"/>
      <c r="O182" s="59"/>
      <c r="P182" s="59"/>
      <c r="Q182" s="59"/>
      <c r="R182" s="59"/>
      <c r="S182" s="59"/>
      <c r="T182" s="59"/>
      <c r="U182" s="59"/>
      <c r="V182" s="39">
        <f>1700*0.004546</f>
        <v>7.7281999999999993</v>
      </c>
      <c r="W182" s="92" t="s">
        <v>4527</v>
      </c>
      <c r="X182"/>
    </row>
    <row r="183" spans="1:24" s="79" customFormat="1" ht="25.5" x14ac:dyDescent="0.2">
      <c r="A183" s="1" t="s">
        <v>309</v>
      </c>
      <c r="B183" s="2" t="s">
        <v>213</v>
      </c>
      <c r="C183" s="2" t="s">
        <v>310</v>
      </c>
      <c r="D183" s="2" t="s">
        <v>132</v>
      </c>
      <c r="E183" s="2">
        <v>2023</v>
      </c>
      <c r="F183" s="2" t="s">
        <v>276</v>
      </c>
      <c r="G183" s="2" t="s">
        <v>3095</v>
      </c>
      <c r="H183" s="2" t="s">
        <v>3092</v>
      </c>
      <c r="I183" s="1" t="s">
        <v>14</v>
      </c>
      <c r="J183" s="1" t="s">
        <v>4532</v>
      </c>
      <c r="K183" s="17"/>
      <c r="L183" s="54"/>
      <c r="M183" s="15"/>
      <c r="N183" s="15"/>
      <c r="O183" s="15"/>
      <c r="P183" s="15"/>
      <c r="Q183" s="15"/>
      <c r="R183" s="15"/>
      <c r="S183" s="15"/>
      <c r="T183" s="15"/>
      <c r="U183" s="15"/>
      <c r="V183" s="15"/>
      <c r="W183" s="92" t="s">
        <v>1683</v>
      </c>
    </row>
    <row r="184" spans="1:24" s="79" customFormat="1" ht="25.5" x14ac:dyDescent="0.2">
      <c r="A184" s="1" t="s">
        <v>309</v>
      </c>
      <c r="B184" s="2" t="s">
        <v>213</v>
      </c>
      <c r="C184" s="2" t="s">
        <v>310</v>
      </c>
      <c r="D184" s="2" t="s">
        <v>132</v>
      </c>
      <c r="E184" s="2">
        <v>2023</v>
      </c>
      <c r="F184" s="2" t="s">
        <v>337</v>
      </c>
      <c r="G184" s="2" t="s">
        <v>3095</v>
      </c>
      <c r="H184" s="2" t="s">
        <v>3092</v>
      </c>
      <c r="I184" s="1" t="s">
        <v>14</v>
      </c>
      <c r="J184" s="1" t="s">
        <v>4533</v>
      </c>
      <c r="K184" s="17"/>
      <c r="L184" s="54"/>
      <c r="M184" s="39"/>
      <c r="N184" s="39"/>
      <c r="O184" s="39"/>
      <c r="P184" s="39"/>
      <c r="Q184" s="39"/>
      <c r="R184" s="39"/>
      <c r="S184" s="39"/>
      <c r="T184" s="39"/>
      <c r="U184" s="39"/>
      <c r="V184" s="39"/>
      <c r="W184" s="92" t="s">
        <v>1683</v>
      </c>
    </row>
    <row r="185" spans="1:24" s="79" customFormat="1" ht="153" x14ac:dyDescent="0.2">
      <c r="A185" s="1" t="s">
        <v>474</v>
      </c>
      <c r="B185" s="2" t="s">
        <v>196</v>
      </c>
      <c r="C185" s="2" t="s">
        <v>475</v>
      </c>
      <c r="D185" s="2" t="s">
        <v>297</v>
      </c>
      <c r="E185" s="2">
        <v>2023</v>
      </c>
      <c r="F185" s="2" t="s">
        <v>291</v>
      </c>
      <c r="G185" s="2" t="s">
        <v>3092</v>
      </c>
      <c r="H185" s="2" t="s">
        <v>3092</v>
      </c>
      <c r="I185" s="1" t="s">
        <v>4534</v>
      </c>
      <c r="J185" s="1" t="s">
        <v>4535</v>
      </c>
      <c r="K185" s="17"/>
      <c r="L185" s="54">
        <v>0.30299999999999999</v>
      </c>
      <c r="M185" s="39"/>
      <c r="N185" s="39"/>
      <c r="O185" s="39">
        <f>1159.11+656.78+233.29</f>
        <v>2049.1799999999998</v>
      </c>
      <c r="P185" s="39"/>
      <c r="Q185" s="39"/>
      <c r="R185" s="39"/>
      <c r="S185" s="39"/>
      <c r="T185" s="39"/>
      <c r="U185" s="39"/>
      <c r="V185" s="39"/>
      <c r="W185" s="92"/>
    </row>
    <row r="186" spans="1:24" s="79" customFormat="1" ht="127.5" x14ac:dyDescent="0.2">
      <c r="A186" s="1" t="s">
        <v>4536</v>
      </c>
      <c r="B186" s="2" t="s">
        <v>196</v>
      </c>
      <c r="C186" s="2" t="s">
        <v>4537</v>
      </c>
      <c r="D186" s="2" t="s">
        <v>246</v>
      </c>
      <c r="E186" s="2">
        <v>2023</v>
      </c>
      <c r="F186" s="2" t="s">
        <v>276</v>
      </c>
      <c r="G186" s="2" t="s">
        <v>3092</v>
      </c>
      <c r="H186" s="2" t="s">
        <v>3093</v>
      </c>
      <c r="I186" s="1" t="s">
        <v>4538</v>
      </c>
      <c r="J186" s="1" t="s">
        <v>14</v>
      </c>
      <c r="K186" s="17"/>
      <c r="L186" s="54"/>
      <c r="M186" s="39"/>
      <c r="N186" s="39"/>
      <c r="O186" s="39"/>
      <c r="P186" s="39"/>
      <c r="Q186" s="39"/>
      <c r="R186" s="39"/>
      <c r="S186" s="39"/>
      <c r="T186" s="39"/>
      <c r="U186" s="39"/>
      <c r="V186" s="39"/>
      <c r="W186" s="92" t="s">
        <v>4454</v>
      </c>
    </row>
    <row r="187" spans="1:24" s="79" customFormat="1" ht="51" x14ac:dyDescent="0.2">
      <c r="A187" s="1" t="s">
        <v>351</v>
      </c>
      <c r="B187" s="2" t="s">
        <v>38</v>
      </c>
      <c r="C187" s="2" t="s">
        <v>352</v>
      </c>
      <c r="D187" s="2" t="s">
        <v>58</v>
      </c>
      <c r="E187" s="2">
        <v>2023</v>
      </c>
      <c r="F187" s="2" t="s">
        <v>364</v>
      </c>
      <c r="G187" s="2" t="s">
        <v>3095</v>
      </c>
      <c r="H187" s="2" t="s">
        <v>3092</v>
      </c>
      <c r="I187" s="1" t="s">
        <v>14</v>
      </c>
      <c r="J187" s="1" t="s">
        <v>4539</v>
      </c>
      <c r="K187" s="17"/>
      <c r="L187" s="54"/>
      <c r="M187" s="39"/>
      <c r="N187" s="39"/>
      <c r="O187" s="39"/>
      <c r="P187" s="39"/>
      <c r="Q187" s="39"/>
      <c r="R187" s="39"/>
      <c r="S187" s="39"/>
      <c r="T187" s="39"/>
      <c r="U187" s="39"/>
      <c r="V187" s="39"/>
      <c r="W187" s="92" t="s">
        <v>3317</v>
      </c>
    </row>
    <row r="188" spans="1:24" s="79" customFormat="1" ht="38.25" x14ac:dyDescent="0.2">
      <c r="A188" s="1" t="s">
        <v>160</v>
      </c>
      <c r="B188" s="2" t="s">
        <v>48</v>
      </c>
      <c r="C188" s="2" t="s">
        <v>161</v>
      </c>
      <c r="D188" s="2" t="s">
        <v>121</v>
      </c>
      <c r="E188" s="2">
        <v>2023</v>
      </c>
      <c r="F188" s="2" t="s">
        <v>13</v>
      </c>
      <c r="G188" s="2" t="s">
        <v>3095</v>
      </c>
      <c r="H188" s="2" t="s">
        <v>3092</v>
      </c>
      <c r="I188" s="1" t="s">
        <v>14</v>
      </c>
      <c r="J188" s="1" t="s">
        <v>4540</v>
      </c>
      <c r="K188" s="17"/>
      <c r="L188" s="54">
        <v>0.191</v>
      </c>
      <c r="M188" s="39"/>
      <c r="N188" s="39"/>
      <c r="O188" s="39">
        <v>220.8</v>
      </c>
      <c r="P188" s="39"/>
      <c r="Q188" s="39"/>
      <c r="R188" s="39"/>
      <c r="S188" s="39"/>
      <c r="T188" s="39"/>
      <c r="U188" s="39"/>
      <c r="V188" s="39"/>
      <c r="W188" s="92"/>
    </row>
    <row r="189" spans="1:24" s="79" customFormat="1" ht="38.25" x14ac:dyDescent="0.2">
      <c r="A189" s="1" t="s">
        <v>160</v>
      </c>
      <c r="B189" s="2" t="s">
        <v>48</v>
      </c>
      <c r="C189" s="2" t="s">
        <v>161</v>
      </c>
      <c r="D189" s="2" t="s">
        <v>121</v>
      </c>
      <c r="E189" s="2">
        <v>2023</v>
      </c>
      <c r="F189" s="2" t="s">
        <v>188</v>
      </c>
      <c r="G189" s="2" t="s">
        <v>3095</v>
      </c>
      <c r="H189" s="2" t="s">
        <v>3092</v>
      </c>
      <c r="I189" s="1" t="s">
        <v>14</v>
      </c>
      <c r="J189" s="1" t="s">
        <v>4541</v>
      </c>
      <c r="K189" s="17"/>
      <c r="L189" s="54">
        <v>0.20699999999999999</v>
      </c>
      <c r="M189" s="39"/>
      <c r="N189" s="39"/>
      <c r="O189" s="39">
        <v>157.80000000000001</v>
      </c>
      <c r="P189" s="39"/>
      <c r="Q189" s="39"/>
      <c r="R189" s="39"/>
      <c r="S189" s="39"/>
      <c r="T189" s="39"/>
      <c r="U189" s="39"/>
      <c r="V189" s="39"/>
      <c r="W189" s="92"/>
    </row>
    <row r="190" spans="1:24" s="79" customFormat="1" ht="38.25" x14ac:dyDescent="0.2">
      <c r="A190" s="1" t="s">
        <v>160</v>
      </c>
      <c r="B190" s="2" t="s">
        <v>48</v>
      </c>
      <c r="C190" s="2" t="s">
        <v>161</v>
      </c>
      <c r="D190" s="2" t="s">
        <v>121</v>
      </c>
      <c r="E190" s="2">
        <v>2023</v>
      </c>
      <c r="F190" s="2" t="s">
        <v>203</v>
      </c>
      <c r="G190" s="2" t="s">
        <v>3095</v>
      </c>
      <c r="H190" s="2" t="s">
        <v>3092</v>
      </c>
      <c r="I190" s="1" t="s">
        <v>14</v>
      </c>
      <c r="J190" s="1" t="s">
        <v>4542</v>
      </c>
      <c r="K190" s="17"/>
      <c r="L190" s="54">
        <v>0.21199999999999999</v>
      </c>
      <c r="M190" s="39"/>
      <c r="N190" s="39"/>
      <c r="O190" s="39">
        <v>152.5</v>
      </c>
      <c r="P190" s="39"/>
      <c r="Q190" s="39"/>
      <c r="R190" s="39"/>
      <c r="S190" s="39"/>
      <c r="T190" s="39"/>
      <c r="U190" s="39"/>
      <c r="V190" s="39"/>
      <c r="W190" s="92"/>
    </row>
    <row r="191" spans="1:24" s="79" customFormat="1" ht="38.25" x14ac:dyDescent="0.2">
      <c r="A191" s="1" t="s">
        <v>160</v>
      </c>
      <c r="B191" s="2" t="s">
        <v>48</v>
      </c>
      <c r="C191" s="2" t="s">
        <v>161</v>
      </c>
      <c r="D191" s="2" t="s">
        <v>121</v>
      </c>
      <c r="E191" s="2">
        <v>2023</v>
      </c>
      <c r="F191" s="2" t="s">
        <v>211</v>
      </c>
      <c r="G191" s="2" t="s">
        <v>3095</v>
      </c>
      <c r="H191" s="2" t="s">
        <v>3092</v>
      </c>
      <c r="I191" s="1" t="s">
        <v>14</v>
      </c>
      <c r="J191" s="1" t="s">
        <v>4543</v>
      </c>
      <c r="K191" s="17"/>
      <c r="L191" s="54">
        <v>0.22</v>
      </c>
      <c r="M191" s="39"/>
      <c r="N191" s="39"/>
      <c r="O191" s="39">
        <v>146.69999999999999</v>
      </c>
      <c r="P191" s="39"/>
      <c r="Q191" s="39"/>
      <c r="R191" s="39"/>
      <c r="S191" s="39"/>
      <c r="T191" s="39"/>
      <c r="U191" s="39"/>
      <c r="V191" s="39"/>
      <c r="W191" s="92"/>
    </row>
    <row r="192" spans="1:24" s="79" customFormat="1" ht="38.25" x14ac:dyDescent="0.2">
      <c r="A192" s="1" t="s">
        <v>160</v>
      </c>
      <c r="B192" s="2" t="s">
        <v>48</v>
      </c>
      <c r="C192" s="2" t="s">
        <v>161</v>
      </c>
      <c r="D192" s="2" t="s">
        <v>121</v>
      </c>
      <c r="E192" s="2">
        <v>2023</v>
      </c>
      <c r="F192" s="2" t="s">
        <v>221</v>
      </c>
      <c r="G192" s="2" t="s">
        <v>3095</v>
      </c>
      <c r="H192" s="2" t="s">
        <v>3092</v>
      </c>
      <c r="I192" s="1" t="s">
        <v>14</v>
      </c>
      <c r="J192" s="1" t="s">
        <v>4544</v>
      </c>
      <c r="K192" s="17"/>
      <c r="L192" s="54">
        <v>0.219</v>
      </c>
      <c r="M192" s="39"/>
      <c r="N192" s="39"/>
      <c r="O192" s="39">
        <v>188.4</v>
      </c>
      <c r="P192" s="39"/>
      <c r="Q192" s="39"/>
      <c r="R192" s="39"/>
      <c r="S192" s="39"/>
      <c r="T192" s="39"/>
      <c r="U192" s="39"/>
      <c r="V192" s="39"/>
      <c r="W192" s="92"/>
    </row>
    <row r="193" spans="1:23" s="79" customFormat="1" ht="38.25" x14ac:dyDescent="0.2">
      <c r="A193" s="1" t="s">
        <v>160</v>
      </c>
      <c r="B193" s="2" t="s">
        <v>48</v>
      </c>
      <c r="C193" s="2" t="s">
        <v>161</v>
      </c>
      <c r="D193" s="2" t="s">
        <v>121</v>
      </c>
      <c r="E193" s="2">
        <v>2023</v>
      </c>
      <c r="F193" s="2" t="s">
        <v>256</v>
      </c>
      <c r="G193" s="2" t="s">
        <v>3095</v>
      </c>
      <c r="H193" s="2" t="s">
        <v>3092</v>
      </c>
      <c r="I193" s="1" t="s">
        <v>14</v>
      </c>
      <c r="J193" s="1" t="s">
        <v>4545</v>
      </c>
      <c r="K193" s="17"/>
      <c r="L193" s="54">
        <v>0.23300000000000001</v>
      </c>
      <c r="M193" s="39"/>
      <c r="N193" s="39"/>
      <c r="O193" s="39">
        <v>101</v>
      </c>
      <c r="P193" s="39"/>
      <c r="Q193" s="39"/>
      <c r="R193" s="39"/>
      <c r="S193" s="39"/>
      <c r="T193" s="39"/>
      <c r="U193" s="39"/>
      <c r="V193" s="39"/>
      <c r="W193" s="92"/>
    </row>
    <row r="194" spans="1:23" s="79" customFormat="1" ht="38.25" x14ac:dyDescent="0.2">
      <c r="A194" s="1" t="s">
        <v>160</v>
      </c>
      <c r="B194" s="2" t="s">
        <v>48</v>
      </c>
      <c r="C194" s="2" t="s">
        <v>161</v>
      </c>
      <c r="D194" s="2" t="s">
        <v>121</v>
      </c>
      <c r="E194" s="2">
        <v>2023</v>
      </c>
      <c r="F194" s="2" t="s">
        <v>276</v>
      </c>
      <c r="G194" s="2" t="s">
        <v>3095</v>
      </c>
      <c r="H194" s="2" t="s">
        <v>3092</v>
      </c>
      <c r="I194" s="1" t="s">
        <v>14</v>
      </c>
      <c r="J194" s="1" t="s">
        <v>4546</v>
      </c>
      <c r="K194" s="17"/>
      <c r="L194" s="54">
        <v>0.252</v>
      </c>
      <c r="M194" s="39"/>
      <c r="N194" s="39"/>
      <c r="O194" s="39">
        <v>36.9</v>
      </c>
      <c r="P194" s="39"/>
      <c r="Q194" s="39"/>
      <c r="R194" s="39"/>
      <c r="S194" s="39"/>
      <c r="T194" s="14"/>
      <c r="U194" s="39"/>
      <c r="V194" s="39"/>
      <c r="W194" s="92"/>
    </row>
    <row r="195" spans="1:23" s="79" customFormat="1" ht="38.25" x14ac:dyDescent="0.2">
      <c r="A195" s="1" t="s">
        <v>160</v>
      </c>
      <c r="B195" s="2" t="s">
        <v>48</v>
      </c>
      <c r="C195" s="2" t="s">
        <v>161</v>
      </c>
      <c r="D195" s="2" t="s">
        <v>121</v>
      </c>
      <c r="E195" s="2">
        <v>2023</v>
      </c>
      <c r="F195" s="2" t="s">
        <v>291</v>
      </c>
      <c r="G195" s="2" t="s">
        <v>3095</v>
      </c>
      <c r="H195" s="2" t="s">
        <v>3092</v>
      </c>
      <c r="I195" s="1" t="s">
        <v>14</v>
      </c>
      <c r="J195" s="1" t="s">
        <v>4547</v>
      </c>
      <c r="K195" s="17"/>
      <c r="L195" s="54">
        <v>0.249</v>
      </c>
      <c r="M195" s="39"/>
      <c r="N195" s="39"/>
      <c r="O195" s="39">
        <v>126.4</v>
      </c>
      <c r="P195" s="39"/>
      <c r="Q195" s="39"/>
      <c r="R195" s="39"/>
      <c r="S195" s="39"/>
      <c r="T195" s="39"/>
      <c r="U195" s="39"/>
      <c r="V195" s="39"/>
      <c r="W195" s="92"/>
    </row>
    <row r="196" spans="1:23" s="79" customFormat="1" ht="38.25" x14ac:dyDescent="0.2">
      <c r="A196" s="1" t="s">
        <v>160</v>
      </c>
      <c r="B196" s="2" t="s">
        <v>48</v>
      </c>
      <c r="C196" s="2" t="s">
        <v>161</v>
      </c>
      <c r="D196" s="2" t="s">
        <v>121</v>
      </c>
      <c r="E196" s="2">
        <v>2023</v>
      </c>
      <c r="F196" s="2" t="s">
        <v>311</v>
      </c>
      <c r="G196" s="2" t="s">
        <v>3095</v>
      </c>
      <c r="H196" s="2" t="s">
        <v>3092</v>
      </c>
      <c r="I196" s="1" t="s">
        <v>14</v>
      </c>
      <c r="J196" s="1" t="s">
        <v>4548</v>
      </c>
      <c r="K196" s="17"/>
      <c r="L196" s="54">
        <v>0.253</v>
      </c>
      <c r="M196" s="39"/>
      <c r="N196" s="39"/>
      <c r="O196" s="39">
        <v>108.9</v>
      </c>
      <c r="P196" s="39"/>
      <c r="Q196" s="39"/>
      <c r="R196" s="39"/>
      <c r="S196" s="39"/>
      <c r="T196" s="39"/>
      <c r="U196" s="39"/>
      <c r="V196" s="39"/>
      <c r="W196" s="92"/>
    </row>
    <row r="197" spans="1:23" s="79" customFormat="1" ht="38.25" x14ac:dyDescent="0.2">
      <c r="A197" s="1" t="s">
        <v>160</v>
      </c>
      <c r="B197" s="2" t="s">
        <v>48</v>
      </c>
      <c r="C197" s="2" t="s">
        <v>161</v>
      </c>
      <c r="D197" s="2" t="s">
        <v>121</v>
      </c>
      <c r="E197" s="2">
        <v>2023</v>
      </c>
      <c r="F197" s="2" t="s">
        <v>337</v>
      </c>
      <c r="G197" s="2" t="s">
        <v>3095</v>
      </c>
      <c r="H197" s="2" t="s">
        <v>3092</v>
      </c>
      <c r="I197" s="1" t="s">
        <v>14</v>
      </c>
      <c r="J197" s="1" t="s">
        <v>4549</v>
      </c>
      <c r="K197" s="17"/>
      <c r="L197" s="54">
        <v>0.26300000000000001</v>
      </c>
      <c r="M197" s="39"/>
      <c r="N197" s="39"/>
      <c r="O197" s="39">
        <v>149</v>
      </c>
      <c r="P197" s="39"/>
      <c r="Q197" s="39"/>
      <c r="R197" s="39"/>
      <c r="S197" s="39"/>
      <c r="T197" s="39"/>
      <c r="U197" s="39"/>
      <c r="V197" s="39"/>
      <c r="W197" s="92"/>
    </row>
    <row r="198" spans="1:23" s="79" customFormat="1" ht="38.25" x14ac:dyDescent="0.2">
      <c r="A198" s="1" t="s">
        <v>160</v>
      </c>
      <c r="B198" s="2" t="s">
        <v>48</v>
      </c>
      <c r="C198" s="2" t="s">
        <v>161</v>
      </c>
      <c r="D198" s="2" t="s">
        <v>121</v>
      </c>
      <c r="E198" s="2">
        <v>2023</v>
      </c>
      <c r="F198" s="2" t="s">
        <v>364</v>
      </c>
      <c r="G198" s="2" t="s">
        <v>3095</v>
      </c>
      <c r="H198" s="2" t="s">
        <v>3092</v>
      </c>
      <c r="I198" s="1" t="s">
        <v>14</v>
      </c>
      <c r="J198" s="1" t="s">
        <v>4550</v>
      </c>
      <c r="K198" s="17"/>
      <c r="L198" s="54">
        <v>0.27400000000000002</v>
      </c>
      <c r="M198" s="39"/>
      <c r="N198" s="39"/>
      <c r="O198" s="39">
        <v>101</v>
      </c>
      <c r="P198" s="39"/>
      <c r="Q198" s="39"/>
      <c r="R198" s="39"/>
      <c r="S198" s="39"/>
      <c r="T198" s="39"/>
      <c r="U198" s="39"/>
      <c r="V198" s="39"/>
      <c r="W198" s="92"/>
    </row>
    <row r="199" spans="1:23" s="79" customFormat="1" ht="114.75" x14ac:dyDescent="0.2">
      <c r="A199" s="1" t="s">
        <v>72</v>
      </c>
      <c r="B199" s="2" t="s">
        <v>38</v>
      </c>
      <c r="C199" s="2" t="s">
        <v>73</v>
      </c>
      <c r="D199" s="2" t="s">
        <v>74</v>
      </c>
      <c r="E199" s="2">
        <v>2023</v>
      </c>
      <c r="F199" s="2" t="s">
        <v>13</v>
      </c>
      <c r="G199" s="2" t="s">
        <v>3095</v>
      </c>
      <c r="H199" s="2" t="s">
        <v>3092</v>
      </c>
      <c r="I199" s="1" t="s">
        <v>14</v>
      </c>
      <c r="J199" s="1" t="s">
        <v>4551</v>
      </c>
      <c r="K199" s="17"/>
      <c r="L199" s="53">
        <v>0.48080000000000001</v>
      </c>
      <c r="M199" s="39"/>
      <c r="N199" s="39"/>
      <c r="O199" s="39">
        <f>912*6%</f>
        <v>54.72</v>
      </c>
      <c r="P199" s="39"/>
      <c r="Q199" s="39"/>
      <c r="R199" s="39"/>
      <c r="S199" s="39">
        <f>70*6%</f>
        <v>4.2</v>
      </c>
      <c r="T199" s="39">
        <f>5307*6%</f>
        <v>318.42</v>
      </c>
      <c r="U199" s="39"/>
      <c r="V199" s="39"/>
      <c r="W199" s="92" t="s">
        <v>1748</v>
      </c>
    </row>
    <row r="200" spans="1:23" s="79" customFormat="1" ht="89.25" x14ac:dyDescent="0.2">
      <c r="A200" s="1" t="s">
        <v>72</v>
      </c>
      <c r="B200" s="2" t="s">
        <v>38</v>
      </c>
      <c r="C200" s="2" t="s">
        <v>73</v>
      </c>
      <c r="D200" s="2" t="s">
        <v>74</v>
      </c>
      <c r="E200" s="2">
        <v>2023</v>
      </c>
      <c r="F200" s="2" t="s">
        <v>188</v>
      </c>
      <c r="G200" s="2" t="s">
        <v>3095</v>
      </c>
      <c r="H200" s="2" t="s">
        <v>3092</v>
      </c>
      <c r="I200" s="1" t="s">
        <v>14</v>
      </c>
      <c r="J200" s="1" t="s">
        <v>4552</v>
      </c>
      <c r="K200" s="17"/>
      <c r="L200" s="54">
        <v>0.43009999999999998</v>
      </c>
      <c r="M200" s="39"/>
      <c r="N200" s="39"/>
      <c r="O200" s="39">
        <f>2332*6%</f>
        <v>139.91999999999999</v>
      </c>
      <c r="P200" s="39"/>
      <c r="Q200" s="39"/>
      <c r="R200" s="39"/>
      <c r="S200" s="39">
        <f>451*6%</f>
        <v>27.06</v>
      </c>
      <c r="T200" s="39">
        <f>3265*6%</f>
        <v>195.9</v>
      </c>
      <c r="U200" s="39"/>
      <c r="V200" s="39"/>
      <c r="W200" s="92" t="s">
        <v>1748</v>
      </c>
    </row>
    <row r="201" spans="1:23" s="79" customFormat="1" ht="127.5" x14ac:dyDescent="0.2">
      <c r="A201" s="1" t="s">
        <v>72</v>
      </c>
      <c r="B201" s="2" t="s">
        <v>38</v>
      </c>
      <c r="C201" s="2" t="s">
        <v>73</v>
      </c>
      <c r="D201" s="2" t="s">
        <v>74</v>
      </c>
      <c r="E201" s="2">
        <v>2023</v>
      </c>
      <c r="F201" s="2" t="s">
        <v>203</v>
      </c>
      <c r="G201" s="2" t="s">
        <v>3095</v>
      </c>
      <c r="H201" s="2" t="s">
        <v>3092</v>
      </c>
      <c r="I201" s="1" t="s">
        <v>14</v>
      </c>
      <c r="J201" s="1" t="s">
        <v>4553</v>
      </c>
      <c r="K201" s="17"/>
      <c r="L201" s="54">
        <v>0.41399999999999998</v>
      </c>
      <c r="M201" s="39"/>
      <c r="N201" s="39"/>
      <c r="O201" s="39">
        <f>912*6%</f>
        <v>54.72</v>
      </c>
      <c r="P201" s="39"/>
      <c r="Q201" s="39"/>
      <c r="R201" s="39"/>
      <c r="S201" s="39">
        <f>70*6%</f>
        <v>4.2</v>
      </c>
      <c r="T201" s="39">
        <f>5307*6%</f>
        <v>318.42</v>
      </c>
      <c r="U201" s="39"/>
      <c r="V201" s="39"/>
      <c r="W201" s="92" t="s">
        <v>1748</v>
      </c>
    </row>
    <row r="202" spans="1:23" s="79" customFormat="1" ht="89.25" x14ac:dyDescent="0.2">
      <c r="A202" s="1" t="s">
        <v>72</v>
      </c>
      <c r="B202" s="2" t="s">
        <v>38</v>
      </c>
      <c r="C202" s="2" t="s">
        <v>73</v>
      </c>
      <c r="D202" s="2" t="s">
        <v>74</v>
      </c>
      <c r="E202" s="2">
        <v>2023</v>
      </c>
      <c r="F202" s="2" t="s">
        <v>211</v>
      </c>
      <c r="G202" s="2" t="s">
        <v>3095</v>
      </c>
      <c r="H202" s="2" t="s">
        <v>3092</v>
      </c>
      <c r="I202" s="1" t="s">
        <v>14</v>
      </c>
      <c r="J202" s="1" t="s">
        <v>4554</v>
      </c>
      <c r="K202" s="17"/>
      <c r="L202" s="54">
        <v>0.41410000000000002</v>
      </c>
      <c r="M202" s="39"/>
      <c r="N202" s="39"/>
      <c r="O202" s="39"/>
      <c r="P202" s="39"/>
      <c r="Q202" s="39"/>
      <c r="R202" s="39"/>
      <c r="S202" s="39"/>
      <c r="T202" s="39">
        <f>7177*6%</f>
        <v>430.62</v>
      </c>
      <c r="U202" s="39"/>
      <c r="V202" s="39"/>
      <c r="W202" s="92" t="s">
        <v>1748</v>
      </c>
    </row>
    <row r="203" spans="1:23" s="79" customFormat="1" ht="114.75" x14ac:dyDescent="0.2">
      <c r="A203" s="1" t="s">
        <v>72</v>
      </c>
      <c r="B203" s="2" t="s">
        <v>38</v>
      </c>
      <c r="C203" s="2" t="s">
        <v>73</v>
      </c>
      <c r="D203" s="2" t="s">
        <v>74</v>
      </c>
      <c r="E203" s="2">
        <v>2023</v>
      </c>
      <c r="F203" s="2" t="s">
        <v>221</v>
      </c>
      <c r="G203" s="2" t="s">
        <v>3095</v>
      </c>
      <c r="H203" s="2" t="s">
        <v>3092</v>
      </c>
      <c r="I203" s="1" t="s">
        <v>14</v>
      </c>
      <c r="J203" s="1" t="s">
        <v>4555</v>
      </c>
      <c r="K203" s="17"/>
      <c r="L203" s="54">
        <v>0.42699999999999999</v>
      </c>
      <c r="M203" s="39"/>
      <c r="N203" s="39"/>
      <c r="O203" s="39">
        <f>2948*6%</f>
        <v>176.88</v>
      </c>
      <c r="P203" s="39"/>
      <c r="Q203" s="39"/>
      <c r="R203" s="39"/>
      <c r="S203" s="39">
        <f>659*6%</f>
        <v>39.54</v>
      </c>
      <c r="T203" s="39">
        <f>2890*6%</f>
        <v>173.4</v>
      </c>
      <c r="U203" s="39"/>
      <c r="V203" s="39"/>
      <c r="W203" s="92" t="s">
        <v>1748</v>
      </c>
    </row>
    <row r="204" spans="1:23" s="79" customFormat="1" ht="114.75" x14ac:dyDescent="0.2">
      <c r="A204" s="1" t="s">
        <v>72</v>
      </c>
      <c r="B204" s="2" t="s">
        <v>38</v>
      </c>
      <c r="C204" s="2" t="s">
        <v>73</v>
      </c>
      <c r="D204" s="2" t="s">
        <v>74</v>
      </c>
      <c r="E204" s="2">
        <v>2023</v>
      </c>
      <c r="F204" s="2" t="s">
        <v>256</v>
      </c>
      <c r="G204" s="2" t="s">
        <v>3095</v>
      </c>
      <c r="H204" s="2" t="s">
        <v>3092</v>
      </c>
      <c r="I204" s="1" t="s">
        <v>14</v>
      </c>
      <c r="J204" s="1" t="s">
        <v>4556</v>
      </c>
      <c r="K204" s="17"/>
      <c r="L204" s="54">
        <v>0.44700000000000001</v>
      </c>
      <c r="M204" s="39"/>
      <c r="N204" s="39"/>
      <c r="O204" s="39">
        <f>938*6%</f>
        <v>56.28</v>
      </c>
      <c r="P204" s="39"/>
      <c r="Q204" s="39"/>
      <c r="R204" s="39"/>
      <c r="S204" s="39">
        <f>610*6%</f>
        <v>36.6</v>
      </c>
      <c r="T204" s="39">
        <f>5462*6%</f>
        <v>327.71999999999997</v>
      </c>
      <c r="U204" s="39"/>
      <c r="V204" s="39"/>
      <c r="W204" s="92" t="s">
        <v>1748</v>
      </c>
    </row>
    <row r="205" spans="1:23" s="79" customFormat="1" ht="153" x14ac:dyDescent="0.2">
      <c r="A205" s="1" t="s">
        <v>72</v>
      </c>
      <c r="B205" s="2" t="s">
        <v>38</v>
      </c>
      <c r="C205" s="2" t="s">
        <v>73</v>
      </c>
      <c r="D205" s="2" t="s">
        <v>74</v>
      </c>
      <c r="E205" s="2">
        <v>2023</v>
      </c>
      <c r="F205" s="2" t="s">
        <v>276</v>
      </c>
      <c r="G205" s="2" t="s">
        <v>3095</v>
      </c>
      <c r="H205" s="2" t="s">
        <v>3092</v>
      </c>
      <c r="I205" s="1" t="s">
        <v>14</v>
      </c>
      <c r="J205" s="1" t="s">
        <v>4557</v>
      </c>
      <c r="K205" s="17"/>
      <c r="L205" s="54">
        <v>0.4446</v>
      </c>
      <c r="M205" s="39"/>
      <c r="N205" s="39"/>
      <c r="O205" s="39">
        <f>38*6%</f>
        <v>2.2799999999999998</v>
      </c>
      <c r="P205" s="39"/>
      <c r="Q205" s="39"/>
      <c r="R205" s="39"/>
      <c r="S205" s="39">
        <f>38*6%</f>
        <v>2.2799999999999998</v>
      </c>
      <c r="T205" s="39">
        <f>6231*6%</f>
        <v>373.86</v>
      </c>
      <c r="U205" s="39"/>
      <c r="V205" s="39"/>
      <c r="W205" s="92" t="s">
        <v>1748</v>
      </c>
    </row>
    <row r="206" spans="1:23" s="79" customFormat="1" ht="89.25" x14ac:dyDescent="0.2">
      <c r="A206" s="1" t="s">
        <v>72</v>
      </c>
      <c r="B206" s="2" t="s">
        <v>38</v>
      </c>
      <c r="C206" s="2" t="s">
        <v>73</v>
      </c>
      <c r="D206" s="2" t="s">
        <v>74</v>
      </c>
      <c r="E206" s="2">
        <v>2023</v>
      </c>
      <c r="F206" s="2" t="s">
        <v>291</v>
      </c>
      <c r="G206" s="2" t="s">
        <v>3095</v>
      </c>
      <c r="H206" s="2" t="s">
        <v>3092</v>
      </c>
      <c r="I206" s="1" t="s">
        <v>14</v>
      </c>
      <c r="J206" s="1" t="s">
        <v>4558</v>
      </c>
      <c r="K206" s="17"/>
      <c r="L206" s="54">
        <v>0.44040000000000001</v>
      </c>
      <c r="M206" s="39"/>
      <c r="N206" s="39"/>
      <c r="O206" s="39">
        <f>569*6%</f>
        <v>34.14</v>
      </c>
      <c r="P206" s="39"/>
      <c r="Q206" s="39"/>
      <c r="R206" s="39"/>
      <c r="S206" s="39"/>
      <c r="T206" s="39">
        <f>6259*6%</f>
        <v>375.53999999999996</v>
      </c>
      <c r="U206" s="39"/>
      <c r="V206" s="39"/>
      <c r="W206" s="92" t="s">
        <v>1748</v>
      </c>
    </row>
    <row r="207" spans="1:23" s="79" customFormat="1" ht="127.5" x14ac:dyDescent="0.2">
      <c r="A207" s="1" t="s">
        <v>72</v>
      </c>
      <c r="B207" s="2" t="s">
        <v>38</v>
      </c>
      <c r="C207" s="2" t="s">
        <v>73</v>
      </c>
      <c r="D207" s="2" t="s">
        <v>74</v>
      </c>
      <c r="E207" s="2">
        <v>2023</v>
      </c>
      <c r="F207" s="2" t="s">
        <v>311</v>
      </c>
      <c r="G207" s="2" t="s">
        <v>3095</v>
      </c>
      <c r="H207" s="2" t="s">
        <v>3092</v>
      </c>
      <c r="I207" s="1" t="s">
        <v>14</v>
      </c>
      <c r="J207" s="1" t="s">
        <v>4559</v>
      </c>
      <c r="K207" s="17"/>
      <c r="L207" s="54">
        <v>0.39800000000000002</v>
      </c>
      <c r="M207" s="39"/>
      <c r="N207" s="39"/>
      <c r="O207" s="39">
        <f>1650*6%</f>
        <v>99</v>
      </c>
      <c r="P207" s="39"/>
      <c r="Q207" s="39"/>
      <c r="R207" s="39"/>
      <c r="S207" s="39">
        <f>522*6%</f>
        <v>31.32</v>
      </c>
      <c r="T207" s="39">
        <f>1861*6%</f>
        <v>111.66</v>
      </c>
      <c r="U207" s="39"/>
      <c r="V207" s="39"/>
      <c r="W207" s="92" t="s">
        <v>1748</v>
      </c>
    </row>
    <row r="208" spans="1:23" s="79" customFormat="1" ht="114.75" x14ac:dyDescent="0.2">
      <c r="A208" s="1" t="s">
        <v>72</v>
      </c>
      <c r="B208" s="2" t="s">
        <v>38</v>
      </c>
      <c r="C208" s="2" t="s">
        <v>73</v>
      </c>
      <c r="D208" s="2" t="s">
        <v>74</v>
      </c>
      <c r="E208" s="2">
        <v>2023</v>
      </c>
      <c r="F208" s="2" t="s">
        <v>337</v>
      </c>
      <c r="G208" s="2" t="s">
        <v>3095</v>
      </c>
      <c r="H208" s="2" t="s">
        <v>3092</v>
      </c>
      <c r="I208" s="1" t="s">
        <v>14</v>
      </c>
      <c r="J208" s="1" t="s">
        <v>4560</v>
      </c>
      <c r="K208" s="17"/>
      <c r="L208" s="54">
        <v>0.379</v>
      </c>
      <c r="M208" s="39"/>
      <c r="N208" s="39"/>
      <c r="O208" s="39">
        <f>1158*6%</f>
        <v>69.48</v>
      </c>
      <c r="P208" s="39"/>
      <c r="Q208" s="39"/>
      <c r="R208" s="39"/>
      <c r="S208" s="39">
        <f>38*6%</f>
        <v>2.2799999999999998</v>
      </c>
      <c r="T208" s="39">
        <f>4964*6%</f>
        <v>297.83999999999997</v>
      </c>
      <c r="U208" s="39"/>
      <c r="V208" s="39"/>
      <c r="W208" s="92" t="s">
        <v>1748</v>
      </c>
    </row>
    <row r="209" spans="1:24" s="79" customFormat="1" ht="102" x14ac:dyDescent="0.2">
      <c r="A209" s="1" t="s">
        <v>72</v>
      </c>
      <c r="B209" s="2" t="s">
        <v>38</v>
      </c>
      <c r="C209" s="2" t="s">
        <v>73</v>
      </c>
      <c r="D209" s="2" t="s">
        <v>74</v>
      </c>
      <c r="E209" s="2">
        <v>2023</v>
      </c>
      <c r="F209" s="2" t="s">
        <v>364</v>
      </c>
      <c r="G209" s="2" t="s">
        <v>3095</v>
      </c>
      <c r="H209" s="2" t="s">
        <v>3092</v>
      </c>
      <c r="I209" s="1" t="s">
        <v>14</v>
      </c>
      <c r="J209" s="1" t="s">
        <v>4561</v>
      </c>
      <c r="K209" s="17"/>
      <c r="L209" s="54">
        <v>0.36699999999999999</v>
      </c>
      <c r="M209" s="39"/>
      <c r="N209" s="39"/>
      <c r="O209" s="39">
        <f>156*6%</f>
        <v>9.36</v>
      </c>
      <c r="P209" s="39"/>
      <c r="Q209" s="39"/>
      <c r="R209" s="39"/>
      <c r="S209" s="39">
        <f>155*6%</f>
        <v>9.2999999999999989</v>
      </c>
      <c r="T209" s="39">
        <f>6608*6%</f>
        <v>396.47999999999996</v>
      </c>
      <c r="U209" s="39"/>
      <c r="V209" s="39"/>
      <c r="W209" s="92" t="s">
        <v>1748</v>
      </c>
    </row>
    <row r="210" spans="1:24" s="79" customFormat="1" ht="114.75" x14ac:dyDescent="0.2">
      <c r="A210" s="1" t="s">
        <v>72</v>
      </c>
      <c r="B210" s="2" t="s">
        <v>38</v>
      </c>
      <c r="C210" s="2" t="s">
        <v>73</v>
      </c>
      <c r="D210" s="2" t="s">
        <v>74</v>
      </c>
      <c r="E210" s="2">
        <v>2023</v>
      </c>
      <c r="F210" s="2" t="s">
        <v>388</v>
      </c>
      <c r="G210" s="2" t="s">
        <v>3095</v>
      </c>
      <c r="H210" s="2" t="s">
        <v>3092</v>
      </c>
      <c r="I210" s="1" t="s">
        <v>14</v>
      </c>
      <c r="J210" s="1" t="s">
        <v>4562</v>
      </c>
      <c r="K210" s="17"/>
      <c r="L210" s="53">
        <v>0.35709999999999997</v>
      </c>
      <c r="M210" s="39"/>
      <c r="N210" s="39"/>
      <c r="O210" s="39">
        <f>114*6%</f>
        <v>6.84</v>
      </c>
      <c r="P210" s="39"/>
      <c r="Q210" s="39"/>
      <c r="R210" s="39"/>
      <c r="S210" s="39">
        <f>150*6%</f>
        <v>9</v>
      </c>
      <c r="T210" s="39">
        <f>6110*6%</f>
        <v>366.59999999999997</v>
      </c>
      <c r="U210" s="39"/>
      <c r="V210" s="39"/>
      <c r="W210" s="92" t="s">
        <v>1748</v>
      </c>
      <c r="X210"/>
    </row>
    <row r="211" spans="1:24" s="79" customFormat="1" ht="63.75" x14ac:dyDescent="0.2">
      <c r="A211" s="1" t="s">
        <v>385</v>
      </c>
      <c r="B211" s="2" t="s">
        <v>386</v>
      </c>
      <c r="C211" s="2" t="s">
        <v>387</v>
      </c>
      <c r="D211" s="2" t="s">
        <v>246</v>
      </c>
      <c r="E211" s="2">
        <v>2023</v>
      </c>
      <c r="F211" s="2" t="s">
        <v>221</v>
      </c>
      <c r="G211" s="2" t="s">
        <v>3092</v>
      </c>
      <c r="H211" s="2" t="s">
        <v>3092</v>
      </c>
      <c r="I211" s="1" t="s">
        <v>4563</v>
      </c>
      <c r="J211" s="1" t="s">
        <v>4564</v>
      </c>
      <c r="K211" s="17"/>
      <c r="L211" s="54" t="s">
        <v>1670</v>
      </c>
      <c r="M211" s="39"/>
      <c r="N211" s="39"/>
      <c r="O211" s="39"/>
      <c r="P211" s="39"/>
      <c r="Q211" s="39"/>
      <c r="R211" s="39"/>
      <c r="S211" s="39"/>
      <c r="T211" s="39"/>
      <c r="U211" s="39"/>
      <c r="V211" s="39">
        <v>9.2100000000000009</v>
      </c>
      <c r="W211" s="92" t="s">
        <v>1699</v>
      </c>
    </row>
    <row r="212" spans="1:24" s="79" customFormat="1" ht="89.25" x14ac:dyDescent="0.2">
      <c r="A212" s="1" t="s">
        <v>385</v>
      </c>
      <c r="B212" s="2" t="s">
        <v>386</v>
      </c>
      <c r="C212" s="2" t="s">
        <v>387</v>
      </c>
      <c r="D212" s="2" t="s">
        <v>246</v>
      </c>
      <c r="E212" s="2">
        <v>2023</v>
      </c>
      <c r="F212" s="2" t="s">
        <v>364</v>
      </c>
      <c r="G212" s="2" t="s">
        <v>3092</v>
      </c>
      <c r="H212" s="2" t="s">
        <v>3092</v>
      </c>
      <c r="I212" s="1" t="s">
        <v>4565</v>
      </c>
      <c r="J212" s="1" t="s">
        <v>4566</v>
      </c>
      <c r="K212" s="17"/>
      <c r="L212" s="54">
        <v>1.4E-2</v>
      </c>
      <c r="M212" s="39"/>
      <c r="N212" s="39"/>
      <c r="O212" s="39"/>
      <c r="P212" s="39"/>
      <c r="Q212" s="39"/>
      <c r="R212" s="39"/>
      <c r="S212" s="39"/>
      <c r="T212" s="39"/>
      <c r="U212" s="39"/>
      <c r="V212" s="39">
        <v>106</v>
      </c>
      <c r="W212" s="92" t="s">
        <v>4567</v>
      </c>
    </row>
    <row r="213" spans="1:24" s="79" customFormat="1" ht="51" x14ac:dyDescent="0.2">
      <c r="A213" s="1" t="s">
        <v>119</v>
      </c>
      <c r="B213" s="2" t="s">
        <v>48</v>
      </c>
      <c r="C213" s="2" t="s">
        <v>120</v>
      </c>
      <c r="D213" s="2" t="s">
        <v>121</v>
      </c>
      <c r="E213" s="2">
        <v>2023</v>
      </c>
      <c r="F213" s="2" t="s">
        <v>13</v>
      </c>
      <c r="G213" s="2" t="s">
        <v>3095</v>
      </c>
      <c r="H213" s="2" t="s">
        <v>3092</v>
      </c>
      <c r="I213" s="1" t="s">
        <v>14</v>
      </c>
      <c r="J213" s="1" t="s">
        <v>4568</v>
      </c>
      <c r="K213" s="17"/>
      <c r="L213" s="53">
        <v>0.216</v>
      </c>
      <c r="M213" s="39"/>
      <c r="N213" s="39"/>
      <c r="O213" s="39"/>
      <c r="P213" s="39"/>
      <c r="Q213" s="39"/>
      <c r="R213" s="39">
        <v>106.6</v>
      </c>
      <c r="S213" s="39"/>
      <c r="T213" s="39"/>
      <c r="U213" s="39"/>
      <c r="V213" s="39"/>
      <c r="W213" s="92"/>
    </row>
    <row r="214" spans="1:24" s="79" customFormat="1" ht="51" x14ac:dyDescent="0.2">
      <c r="A214" s="1" t="s">
        <v>119</v>
      </c>
      <c r="B214" s="2" t="s">
        <v>48</v>
      </c>
      <c r="C214" s="2" t="s">
        <v>120</v>
      </c>
      <c r="D214" s="2" t="s">
        <v>121</v>
      </c>
      <c r="E214" s="2">
        <v>2023</v>
      </c>
      <c r="F214" s="2" t="s">
        <v>188</v>
      </c>
      <c r="G214" s="2" t="s">
        <v>3095</v>
      </c>
      <c r="H214" s="2" t="s">
        <v>3092</v>
      </c>
      <c r="I214" s="1" t="s">
        <v>14</v>
      </c>
      <c r="J214" s="1" t="s">
        <v>4569</v>
      </c>
      <c r="K214" s="17"/>
      <c r="L214" s="54">
        <v>0.221</v>
      </c>
      <c r="M214" s="39"/>
      <c r="N214" s="39"/>
      <c r="O214" s="39"/>
      <c r="P214" s="39"/>
      <c r="Q214" s="39"/>
      <c r="R214" s="39">
        <v>106.4</v>
      </c>
      <c r="S214" s="39"/>
      <c r="T214" s="39"/>
      <c r="U214" s="39"/>
      <c r="V214" s="39"/>
      <c r="W214" s="92"/>
    </row>
    <row r="215" spans="1:24" s="79" customFormat="1" ht="51" x14ac:dyDescent="0.2">
      <c r="A215" s="1" t="s">
        <v>119</v>
      </c>
      <c r="B215" s="2" t="s">
        <v>48</v>
      </c>
      <c r="C215" s="2" t="s">
        <v>120</v>
      </c>
      <c r="D215" s="2" t="s">
        <v>121</v>
      </c>
      <c r="E215" s="2">
        <v>2023</v>
      </c>
      <c r="F215" s="2" t="s">
        <v>203</v>
      </c>
      <c r="G215" s="2" t="s">
        <v>3095</v>
      </c>
      <c r="H215" s="2" t="s">
        <v>3092</v>
      </c>
      <c r="I215" s="1" t="s">
        <v>14</v>
      </c>
      <c r="J215" s="1" t="s">
        <v>4570</v>
      </c>
      <c r="K215" s="17"/>
      <c r="L215" s="54">
        <v>0.222</v>
      </c>
      <c r="M215" s="39"/>
      <c r="N215" s="39"/>
      <c r="O215" s="39"/>
      <c r="P215" s="39"/>
      <c r="Q215" s="39"/>
      <c r="R215" s="39">
        <v>81.400000000000006</v>
      </c>
      <c r="S215" s="39"/>
      <c r="T215" s="39"/>
      <c r="U215" s="39"/>
      <c r="V215" s="39"/>
      <c r="W215" s="92"/>
    </row>
    <row r="216" spans="1:24" s="79" customFormat="1" ht="51" x14ac:dyDescent="0.2">
      <c r="A216" s="1" t="s">
        <v>119</v>
      </c>
      <c r="B216" s="2" t="s">
        <v>48</v>
      </c>
      <c r="C216" s="2" t="s">
        <v>120</v>
      </c>
      <c r="D216" s="2" t="s">
        <v>121</v>
      </c>
      <c r="E216" s="2">
        <v>2023</v>
      </c>
      <c r="F216" s="2" t="s">
        <v>211</v>
      </c>
      <c r="G216" s="2" t="s">
        <v>3095</v>
      </c>
      <c r="H216" s="2" t="s">
        <v>3092</v>
      </c>
      <c r="I216" s="1" t="s">
        <v>14</v>
      </c>
      <c r="J216" s="1" t="s">
        <v>4571</v>
      </c>
      <c r="K216" s="17"/>
      <c r="L216" s="54">
        <v>0.22700000000000001</v>
      </c>
      <c r="M216" s="39"/>
      <c r="N216" s="39"/>
      <c r="O216" s="39"/>
      <c r="P216" s="39"/>
      <c r="Q216" s="39"/>
      <c r="R216" s="39">
        <v>87.4</v>
      </c>
      <c r="S216" s="39"/>
      <c r="T216" s="39"/>
      <c r="U216" s="39"/>
      <c r="V216" s="39"/>
      <c r="W216" s="92"/>
    </row>
    <row r="217" spans="1:24" s="79" customFormat="1" ht="51" x14ac:dyDescent="0.2">
      <c r="A217" s="1" t="s">
        <v>119</v>
      </c>
      <c r="B217" s="2" t="s">
        <v>48</v>
      </c>
      <c r="C217" s="2" t="s">
        <v>120</v>
      </c>
      <c r="D217" s="2" t="s">
        <v>121</v>
      </c>
      <c r="E217" s="2">
        <v>2023</v>
      </c>
      <c r="F217" s="2" t="s">
        <v>221</v>
      </c>
      <c r="G217" s="2" t="s">
        <v>3095</v>
      </c>
      <c r="H217" s="2" t="s">
        <v>3092</v>
      </c>
      <c r="I217" s="1" t="s">
        <v>14</v>
      </c>
      <c r="J217" s="1" t="s">
        <v>4572</v>
      </c>
      <c r="K217" s="17"/>
      <c r="L217" s="54">
        <v>0.23699999999999999</v>
      </c>
      <c r="M217" s="39"/>
      <c r="N217" s="39"/>
      <c r="O217" s="39"/>
      <c r="P217" s="39"/>
      <c r="Q217" s="39"/>
      <c r="R217" s="39">
        <v>94.8</v>
      </c>
      <c r="S217" s="39"/>
      <c r="T217" s="39"/>
      <c r="U217" s="39"/>
      <c r="V217" s="39"/>
      <c r="W217" s="92"/>
    </row>
    <row r="218" spans="1:24" s="79" customFormat="1" ht="51" x14ac:dyDescent="0.2">
      <c r="A218" s="1" t="s">
        <v>119</v>
      </c>
      <c r="B218" s="2" t="s">
        <v>48</v>
      </c>
      <c r="C218" s="2" t="s">
        <v>120</v>
      </c>
      <c r="D218" s="2" t="s">
        <v>121</v>
      </c>
      <c r="E218" s="2">
        <v>2023</v>
      </c>
      <c r="F218" s="2" t="s">
        <v>256</v>
      </c>
      <c r="G218" s="2" t="s">
        <v>3095</v>
      </c>
      <c r="H218" s="2" t="s">
        <v>3092</v>
      </c>
      <c r="I218" s="1" t="s">
        <v>14</v>
      </c>
      <c r="J218" s="1" t="s">
        <v>4573</v>
      </c>
      <c r="K218" s="17"/>
      <c r="L218" s="54">
        <v>0.23400000000000001</v>
      </c>
      <c r="M218" s="39"/>
      <c r="N218" s="39"/>
      <c r="O218" s="39"/>
      <c r="P218" s="39"/>
      <c r="Q218" s="39"/>
      <c r="R218" s="39">
        <v>117</v>
      </c>
      <c r="S218" s="39"/>
      <c r="T218" s="39"/>
      <c r="U218" s="39"/>
      <c r="V218" s="39"/>
      <c r="W218" s="92"/>
    </row>
    <row r="219" spans="1:24" s="79" customFormat="1" ht="51" x14ac:dyDescent="0.2">
      <c r="A219" s="1" t="s">
        <v>119</v>
      </c>
      <c r="B219" s="2" t="s">
        <v>48</v>
      </c>
      <c r="C219" s="2" t="s">
        <v>120</v>
      </c>
      <c r="D219" s="2" t="s">
        <v>121</v>
      </c>
      <c r="E219" s="2">
        <v>2023</v>
      </c>
      <c r="F219" s="2" t="s">
        <v>276</v>
      </c>
      <c r="G219" s="2" t="s">
        <v>3095</v>
      </c>
      <c r="H219" s="2" t="s">
        <v>3092</v>
      </c>
      <c r="I219" s="1" t="s">
        <v>14</v>
      </c>
      <c r="J219" s="1" t="s">
        <v>4574</v>
      </c>
      <c r="K219" s="17"/>
      <c r="L219" s="54">
        <v>0.23599999999999999</v>
      </c>
      <c r="M219" s="39"/>
      <c r="N219" s="39"/>
      <c r="O219" s="39"/>
      <c r="P219" s="39"/>
      <c r="Q219" s="39"/>
      <c r="R219" s="39">
        <v>77.599999999999994</v>
      </c>
      <c r="S219" s="39"/>
      <c r="T219" s="39"/>
      <c r="U219" s="39"/>
      <c r="V219" s="39"/>
      <c r="W219" s="92"/>
    </row>
    <row r="220" spans="1:24" s="79" customFormat="1" ht="51" x14ac:dyDescent="0.2">
      <c r="A220" s="1" t="s">
        <v>119</v>
      </c>
      <c r="B220" s="2" t="s">
        <v>48</v>
      </c>
      <c r="C220" s="2" t="s">
        <v>120</v>
      </c>
      <c r="D220" s="2" t="s">
        <v>121</v>
      </c>
      <c r="E220" s="2">
        <v>2023</v>
      </c>
      <c r="F220" s="2" t="s">
        <v>291</v>
      </c>
      <c r="G220" s="2" t="s">
        <v>3095</v>
      </c>
      <c r="H220" s="2" t="s">
        <v>3092</v>
      </c>
      <c r="I220" s="1" t="s">
        <v>14</v>
      </c>
      <c r="J220" s="1" t="s">
        <v>4575</v>
      </c>
      <c r="K220" s="17"/>
      <c r="L220" s="54">
        <v>0.23799999999999999</v>
      </c>
      <c r="M220" s="39"/>
      <c r="N220" s="39"/>
      <c r="O220" s="39"/>
      <c r="P220" s="39"/>
      <c r="Q220" s="39"/>
      <c r="R220" s="39">
        <v>118</v>
      </c>
      <c r="S220" s="39"/>
      <c r="T220" s="39"/>
      <c r="U220" s="39"/>
      <c r="V220" s="39"/>
      <c r="W220" s="92"/>
    </row>
    <row r="221" spans="1:24" s="79" customFormat="1" ht="51" x14ac:dyDescent="0.2">
      <c r="A221" s="1" t="s">
        <v>119</v>
      </c>
      <c r="B221" s="2" t="s">
        <v>48</v>
      </c>
      <c r="C221" s="2" t="s">
        <v>120</v>
      </c>
      <c r="D221" s="2" t="s">
        <v>121</v>
      </c>
      <c r="E221" s="2">
        <v>2023</v>
      </c>
      <c r="F221" s="2" t="s">
        <v>311</v>
      </c>
      <c r="G221" s="2" t="s">
        <v>3095</v>
      </c>
      <c r="H221" s="2" t="s">
        <v>3092</v>
      </c>
      <c r="I221" s="1" t="s">
        <v>14</v>
      </c>
      <c r="J221" s="1" t="s">
        <v>4576</v>
      </c>
      <c r="K221" s="17"/>
      <c r="L221" s="54">
        <v>0.23499999999999999</v>
      </c>
      <c r="M221" s="39"/>
      <c r="N221" s="39"/>
      <c r="O221" s="39"/>
      <c r="P221" s="39"/>
      <c r="Q221" s="39"/>
      <c r="R221" s="39">
        <v>69.2</v>
      </c>
      <c r="S221" s="39"/>
      <c r="T221" s="39"/>
      <c r="U221" s="39"/>
      <c r="V221" s="39"/>
      <c r="W221" s="92"/>
    </row>
    <row r="222" spans="1:24" s="79" customFormat="1" ht="51" x14ac:dyDescent="0.2">
      <c r="A222" s="1" t="s">
        <v>119</v>
      </c>
      <c r="B222" s="2" t="s">
        <v>48</v>
      </c>
      <c r="C222" s="2" t="s">
        <v>120</v>
      </c>
      <c r="D222" s="2" t="s">
        <v>121</v>
      </c>
      <c r="E222" s="2">
        <v>2023</v>
      </c>
      <c r="F222" s="2" t="s">
        <v>337</v>
      </c>
      <c r="G222" s="2" t="s">
        <v>3095</v>
      </c>
      <c r="H222" s="2" t="s">
        <v>3092</v>
      </c>
      <c r="I222" s="1" t="s">
        <v>14</v>
      </c>
      <c r="J222" s="1" t="s">
        <v>4577</v>
      </c>
      <c r="K222" s="17"/>
      <c r="L222" s="54">
        <v>0.22500000000000001</v>
      </c>
      <c r="M222" s="39"/>
      <c r="N222" s="39"/>
      <c r="O222" s="39"/>
      <c r="P222" s="39"/>
      <c r="Q222" s="39"/>
      <c r="R222" s="39">
        <v>90.3</v>
      </c>
      <c r="S222" s="39"/>
      <c r="T222" s="39"/>
      <c r="U222" s="39"/>
      <c r="V222" s="39"/>
      <c r="W222" s="92"/>
    </row>
    <row r="223" spans="1:24" s="79" customFormat="1" ht="51" x14ac:dyDescent="0.2">
      <c r="A223" s="1" t="s">
        <v>119</v>
      </c>
      <c r="B223" s="2" t="s">
        <v>48</v>
      </c>
      <c r="C223" s="2" t="s">
        <v>120</v>
      </c>
      <c r="D223" s="2" t="s">
        <v>121</v>
      </c>
      <c r="E223" s="2">
        <v>2023</v>
      </c>
      <c r="F223" s="2" t="s">
        <v>364</v>
      </c>
      <c r="G223" s="2" t="s">
        <v>3095</v>
      </c>
      <c r="H223" s="2" t="s">
        <v>3092</v>
      </c>
      <c r="I223" s="1" t="s">
        <v>14</v>
      </c>
      <c r="J223" s="1" t="s">
        <v>4578</v>
      </c>
      <c r="K223" s="17"/>
      <c r="L223" s="54">
        <v>0.22800000000000001</v>
      </c>
      <c r="M223" s="39"/>
      <c r="N223" s="39"/>
      <c r="O223" s="39"/>
      <c r="P223" s="39"/>
      <c r="Q223" s="39"/>
      <c r="R223" s="39">
        <v>126</v>
      </c>
      <c r="S223" s="39"/>
      <c r="T223" s="39"/>
      <c r="U223" s="39"/>
      <c r="V223" s="39"/>
      <c r="W223" s="92"/>
    </row>
    <row r="224" spans="1:24" s="79" customFormat="1" ht="51" x14ac:dyDescent="0.2">
      <c r="A224" s="1" t="s">
        <v>119</v>
      </c>
      <c r="B224" s="2" t="s">
        <v>48</v>
      </c>
      <c r="C224" s="2" t="s">
        <v>120</v>
      </c>
      <c r="D224" s="2" t="s">
        <v>121</v>
      </c>
      <c r="E224" s="2">
        <v>2023</v>
      </c>
      <c r="F224" s="2" t="s">
        <v>388</v>
      </c>
      <c r="G224" s="2" t="s">
        <v>3095</v>
      </c>
      <c r="H224" s="2" t="s">
        <v>3092</v>
      </c>
      <c r="I224" s="1" t="s">
        <v>14</v>
      </c>
      <c r="J224" s="1" t="s">
        <v>4579</v>
      </c>
      <c r="K224" s="17"/>
      <c r="L224" s="54">
        <v>0.25800000000000001</v>
      </c>
      <c r="M224" s="15"/>
      <c r="N224" s="15"/>
      <c r="O224" s="15"/>
      <c r="P224" s="15"/>
      <c r="Q224" s="15"/>
      <c r="R224" s="15">
        <v>112</v>
      </c>
      <c r="S224" s="15"/>
      <c r="T224" s="15"/>
      <c r="U224" s="15"/>
      <c r="V224" s="15"/>
      <c r="W224" s="92"/>
    </row>
    <row r="225" spans="1:23" s="79" customFormat="1" ht="25.5" x14ac:dyDescent="0.2">
      <c r="A225" s="1" t="s">
        <v>174</v>
      </c>
      <c r="B225" s="2" t="s">
        <v>16</v>
      </c>
      <c r="C225" s="2" t="s">
        <v>175</v>
      </c>
      <c r="D225" s="2" t="s">
        <v>132</v>
      </c>
      <c r="E225" s="2">
        <v>2023</v>
      </c>
      <c r="F225" s="2" t="s">
        <v>13</v>
      </c>
      <c r="G225" s="2" t="s">
        <v>3095</v>
      </c>
      <c r="H225" s="2" t="s">
        <v>3092</v>
      </c>
      <c r="I225" s="1" t="s">
        <v>14</v>
      </c>
      <c r="J225" s="1" t="s">
        <v>4580</v>
      </c>
      <c r="K225" s="17"/>
      <c r="L225" s="54">
        <v>0.26829999999999998</v>
      </c>
      <c r="M225" s="39"/>
      <c r="N225" s="39"/>
      <c r="O225" s="39"/>
      <c r="P225" s="39"/>
      <c r="Q225" s="39"/>
      <c r="R225" s="39"/>
      <c r="S225" s="39">
        <v>50.4</v>
      </c>
      <c r="T225" s="39"/>
      <c r="U225" s="39"/>
      <c r="V225" s="39"/>
      <c r="W225" s="92" t="s">
        <v>1737</v>
      </c>
    </row>
    <row r="226" spans="1:23" s="79" customFormat="1" ht="25.5" x14ac:dyDescent="0.2">
      <c r="A226" s="1" t="s">
        <v>174</v>
      </c>
      <c r="B226" s="2" t="s">
        <v>16</v>
      </c>
      <c r="C226" s="2" t="s">
        <v>175</v>
      </c>
      <c r="D226" s="2" t="s">
        <v>132</v>
      </c>
      <c r="E226" s="2">
        <v>2023</v>
      </c>
      <c r="F226" s="2" t="s">
        <v>188</v>
      </c>
      <c r="G226" s="2" t="s">
        <v>3095</v>
      </c>
      <c r="H226" s="2" t="s">
        <v>3092</v>
      </c>
      <c r="I226" s="1" t="s">
        <v>14</v>
      </c>
      <c r="J226" s="1" t="s">
        <v>4581</v>
      </c>
      <c r="K226" s="17"/>
      <c r="L226" s="54">
        <v>0.26019999999999999</v>
      </c>
      <c r="M226" s="39"/>
      <c r="N226" s="39"/>
      <c r="O226" s="39"/>
      <c r="P226" s="39"/>
      <c r="Q226" s="39"/>
      <c r="R226" s="39"/>
      <c r="S226" s="39">
        <v>49.4</v>
      </c>
      <c r="T226" s="39"/>
      <c r="U226" s="39"/>
      <c r="V226" s="39"/>
      <c r="W226" s="92" t="s">
        <v>1737</v>
      </c>
    </row>
    <row r="227" spans="1:23" s="79" customFormat="1" ht="25.5" x14ac:dyDescent="0.2">
      <c r="A227" s="1" t="s">
        <v>174</v>
      </c>
      <c r="B227" s="2" t="s">
        <v>16</v>
      </c>
      <c r="C227" s="2" t="s">
        <v>175</v>
      </c>
      <c r="D227" s="2" t="s">
        <v>132</v>
      </c>
      <c r="E227" s="2">
        <v>2023</v>
      </c>
      <c r="F227" s="2" t="s">
        <v>203</v>
      </c>
      <c r="G227" s="2" t="s">
        <v>3095</v>
      </c>
      <c r="H227" s="2" t="s">
        <v>3092</v>
      </c>
      <c r="I227" s="1" t="s">
        <v>14</v>
      </c>
      <c r="J227" s="1" t="s">
        <v>4582</v>
      </c>
      <c r="K227" s="17"/>
      <c r="L227" s="54">
        <v>0.27050000000000002</v>
      </c>
      <c r="M227" s="39"/>
      <c r="N227" s="39"/>
      <c r="O227" s="39"/>
      <c r="P227" s="39"/>
      <c r="Q227" s="39"/>
      <c r="R227" s="39"/>
      <c r="S227" s="39">
        <v>53.9</v>
      </c>
      <c r="T227" s="39"/>
      <c r="U227" s="39"/>
      <c r="V227" s="39"/>
      <c r="W227" s="92" t="s">
        <v>1737</v>
      </c>
    </row>
    <row r="228" spans="1:23" s="79" customFormat="1" ht="25.5" x14ac:dyDescent="0.2">
      <c r="A228" s="1" t="s">
        <v>174</v>
      </c>
      <c r="B228" s="2" t="s">
        <v>16</v>
      </c>
      <c r="C228" s="2" t="s">
        <v>175</v>
      </c>
      <c r="D228" s="2" t="s">
        <v>132</v>
      </c>
      <c r="E228" s="2">
        <v>2023</v>
      </c>
      <c r="F228" s="2" t="s">
        <v>211</v>
      </c>
      <c r="G228" s="2" t="s">
        <v>3095</v>
      </c>
      <c r="H228" s="2" t="s">
        <v>3092</v>
      </c>
      <c r="I228" s="1" t="s">
        <v>14</v>
      </c>
      <c r="J228" s="1" t="s">
        <v>4583</v>
      </c>
      <c r="K228" s="17"/>
      <c r="L228" s="54">
        <v>0.26329999999999998</v>
      </c>
      <c r="M228" s="39"/>
      <c r="N228" s="39"/>
      <c r="O228" s="39"/>
      <c r="P228" s="39"/>
      <c r="Q228" s="39"/>
      <c r="R228" s="39"/>
      <c r="S228" s="39">
        <v>52.3</v>
      </c>
      <c r="T228" s="39"/>
      <c r="U228" s="39"/>
      <c r="V228" s="39"/>
      <c r="W228" s="92" t="s">
        <v>1737</v>
      </c>
    </row>
    <row r="229" spans="1:23" s="79" customFormat="1" ht="25.5" x14ac:dyDescent="0.2">
      <c r="A229" s="1" t="s">
        <v>174</v>
      </c>
      <c r="B229" s="2" t="s">
        <v>16</v>
      </c>
      <c r="C229" s="2" t="s">
        <v>175</v>
      </c>
      <c r="D229" s="2" t="s">
        <v>132</v>
      </c>
      <c r="E229" s="2">
        <v>2023</v>
      </c>
      <c r="F229" s="2" t="s">
        <v>221</v>
      </c>
      <c r="G229" s="2" t="s">
        <v>3095</v>
      </c>
      <c r="H229" s="2" t="s">
        <v>3092</v>
      </c>
      <c r="I229" s="1" t="s">
        <v>14</v>
      </c>
      <c r="J229" s="1" t="s">
        <v>4584</v>
      </c>
      <c r="K229" s="17"/>
      <c r="L229" s="78">
        <v>0.2424</v>
      </c>
      <c r="M229" s="39"/>
      <c r="N229" s="39"/>
      <c r="O229" s="39"/>
      <c r="P229" s="39"/>
      <c r="Q229" s="39"/>
      <c r="R229" s="39"/>
      <c r="S229" s="39">
        <v>58</v>
      </c>
      <c r="T229" s="39"/>
      <c r="U229" s="39"/>
      <c r="V229" s="39"/>
      <c r="W229" s="92" t="s">
        <v>1737</v>
      </c>
    </row>
    <row r="230" spans="1:23" s="79" customFormat="1" ht="25.5" x14ac:dyDescent="0.2">
      <c r="A230" s="1" t="s">
        <v>174</v>
      </c>
      <c r="B230" s="2" t="s">
        <v>16</v>
      </c>
      <c r="C230" s="2" t="s">
        <v>175</v>
      </c>
      <c r="D230" s="2" t="s">
        <v>132</v>
      </c>
      <c r="E230" s="2">
        <v>2023</v>
      </c>
      <c r="F230" s="2" t="s">
        <v>256</v>
      </c>
      <c r="G230" s="2" t="s">
        <v>3095</v>
      </c>
      <c r="H230" s="2" t="s">
        <v>3092</v>
      </c>
      <c r="I230" s="1" t="s">
        <v>14</v>
      </c>
      <c r="J230" s="1" t="s">
        <v>4585</v>
      </c>
      <c r="K230" s="17"/>
      <c r="L230" s="54">
        <v>0.2467</v>
      </c>
      <c r="M230" s="39"/>
      <c r="N230" s="39"/>
      <c r="O230" s="39"/>
      <c r="P230" s="39"/>
      <c r="Q230" s="39"/>
      <c r="R230" s="39"/>
      <c r="S230" s="39">
        <v>60.9</v>
      </c>
      <c r="T230" s="39"/>
      <c r="U230" s="39"/>
      <c r="V230" s="39"/>
      <c r="W230" s="92" t="s">
        <v>1737</v>
      </c>
    </row>
    <row r="231" spans="1:23" s="79" customFormat="1" ht="25.5" x14ac:dyDescent="0.2">
      <c r="A231" s="1" t="s">
        <v>174</v>
      </c>
      <c r="B231" s="2" t="s">
        <v>16</v>
      </c>
      <c r="C231" s="2" t="s">
        <v>175</v>
      </c>
      <c r="D231" s="2" t="s">
        <v>132</v>
      </c>
      <c r="E231" s="2">
        <v>2023</v>
      </c>
      <c r="F231" s="2" t="s">
        <v>276</v>
      </c>
      <c r="G231" s="2" t="s">
        <v>3095</v>
      </c>
      <c r="H231" s="2" t="s">
        <v>3092</v>
      </c>
      <c r="I231" s="1" t="s">
        <v>14</v>
      </c>
      <c r="J231" s="1" t="s">
        <v>4586</v>
      </c>
      <c r="K231" s="17"/>
      <c r="L231" s="54">
        <v>0.26729999999999998</v>
      </c>
      <c r="M231" s="39"/>
      <c r="N231" s="39"/>
      <c r="O231" s="39"/>
      <c r="P231" s="39"/>
      <c r="Q231" s="39"/>
      <c r="R231" s="39"/>
      <c r="S231" s="39">
        <v>62</v>
      </c>
      <c r="T231" s="39"/>
      <c r="U231" s="39"/>
      <c r="V231" s="39"/>
      <c r="W231" s="92" t="s">
        <v>1737</v>
      </c>
    </row>
    <row r="232" spans="1:23" s="79" customFormat="1" ht="25.5" x14ac:dyDescent="0.2">
      <c r="A232" s="1" t="s">
        <v>174</v>
      </c>
      <c r="B232" s="2" t="s">
        <v>16</v>
      </c>
      <c r="C232" s="2" t="s">
        <v>175</v>
      </c>
      <c r="D232" s="2" t="s">
        <v>132</v>
      </c>
      <c r="E232" s="2">
        <v>2023</v>
      </c>
      <c r="F232" s="2" t="s">
        <v>291</v>
      </c>
      <c r="G232" s="2" t="s">
        <v>3095</v>
      </c>
      <c r="H232" s="2" t="s">
        <v>3092</v>
      </c>
      <c r="I232" s="1" t="s">
        <v>14</v>
      </c>
      <c r="J232" s="1" t="s">
        <v>4587</v>
      </c>
      <c r="K232" s="17"/>
      <c r="L232" s="54">
        <v>0.26700000000000002</v>
      </c>
      <c r="M232" s="39"/>
      <c r="N232" s="39"/>
      <c r="O232" s="39"/>
      <c r="P232" s="39"/>
      <c r="Q232" s="39"/>
      <c r="R232" s="39"/>
      <c r="S232" s="39">
        <v>77.599999999999994</v>
      </c>
      <c r="T232" s="39"/>
      <c r="U232" s="39"/>
      <c r="V232" s="39"/>
      <c r="W232" s="92" t="s">
        <v>1737</v>
      </c>
    </row>
    <row r="233" spans="1:23" s="79" customFormat="1" ht="25.5" x14ac:dyDescent="0.2">
      <c r="A233" s="1" t="s">
        <v>174</v>
      </c>
      <c r="B233" s="2" t="s">
        <v>16</v>
      </c>
      <c r="C233" s="2" t="s">
        <v>175</v>
      </c>
      <c r="D233" s="2" t="s">
        <v>132</v>
      </c>
      <c r="E233" s="2">
        <v>2023</v>
      </c>
      <c r="F233" s="2" t="s">
        <v>311</v>
      </c>
      <c r="G233" s="2" t="s">
        <v>3095</v>
      </c>
      <c r="H233" s="2" t="s">
        <v>3092</v>
      </c>
      <c r="I233" s="1" t="s">
        <v>14</v>
      </c>
      <c r="J233" s="1" t="s">
        <v>4588</v>
      </c>
      <c r="K233" s="17"/>
      <c r="L233" s="78">
        <v>0.26640000000000003</v>
      </c>
      <c r="M233" s="39"/>
      <c r="N233" s="39"/>
      <c r="O233" s="39"/>
      <c r="P233" s="39"/>
      <c r="Q233" s="39"/>
      <c r="R233" s="39"/>
      <c r="S233" s="39">
        <v>58.1</v>
      </c>
      <c r="T233" s="39"/>
      <c r="U233" s="39"/>
      <c r="V233" s="39"/>
      <c r="W233" s="92" t="s">
        <v>1737</v>
      </c>
    </row>
    <row r="234" spans="1:23" s="79" customFormat="1" ht="25.5" x14ac:dyDescent="0.2">
      <c r="A234" s="1" t="s">
        <v>174</v>
      </c>
      <c r="B234" s="2" t="s">
        <v>16</v>
      </c>
      <c r="C234" s="2" t="s">
        <v>175</v>
      </c>
      <c r="D234" s="2" t="s">
        <v>132</v>
      </c>
      <c r="E234" s="2">
        <v>2023</v>
      </c>
      <c r="F234" s="2" t="s">
        <v>337</v>
      </c>
      <c r="G234" s="2" t="s">
        <v>3095</v>
      </c>
      <c r="H234" s="2" t="s">
        <v>3092</v>
      </c>
      <c r="I234" s="1" t="s">
        <v>14</v>
      </c>
      <c r="J234" s="1" t="s">
        <v>4589</v>
      </c>
      <c r="K234" s="17"/>
      <c r="L234" s="54">
        <v>0.26369999999999999</v>
      </c>
      <c r="M234" s="39"/>
      <c r="N234" s="39"/>
      <c r="O234" s="39"/>
      <c r="P234" s="39"/>
      <c r="Q234" s="39"/>
      <c r="R234" s="39"/>
      <c r="S234" s="39">
        <v>56.9</v>
      </c>
      <c r="T234" s="39"/>
      <c r="U234" s="39"/>
      <c r="V234" s="39"/>
      <c r="W234" s="92" t="s">
        <v>1737</v>
      </c>
    </row>
    <row r="235" spans="1:23" s="79" customFormat="1" ht="25.5" x14ac:dyDescent="0.2">
      <c r="A235" s="1" t="s">
        <v>174</v>
      </c>
      <c r="B235" s="2" t="s">
        <v>16</v>
      </c>
      <c r="C235" s="2" t="s">
        <v>175</v>
      </c>
      <c r="D235" s="2" t="s">
        <v>132</v>
      </c>
      <c r="E235" s="2">
        <v>2023</v>
      </c>
      <c r="F235" s="2" t="s">
        <v>364</v>
      </c>
      <c r="G235" s="2" t="s">
        <v>3095</v>
      </c>
      <c r="H235" s="2" t="s">
        <v>3092</v>
      </c>
      <c r="I235" s="1" t="s">
        <v>14</v>
      </c>
      <c r="J235" s="1" t="s">
        <v>4590</v>
      </c>
      <c r="K235" s="17"/>
      <c r="L235" s="54">
        <v>0.25369999999999998</v>
      </c>
      <c r="M235" s="39"/>
      <c r="N235" s="39"/>
      <c r="O235" s="39"/>
      <c r="P235" s="39"/>
      <c r="Q235" s="39"/>
      <c r="R235" s="39"/>
      <c r="S235" s="39">
        <v>63.1</v>
      </c>
      <c r="T235" s="39"/>
      <c r="U235" s="39"/>
      <c r="V235" s="39"/>
      <c r="W235" s="92" t="s">
        <v>1737</v>
      </c>
    </row>
    <row r="236" spans="1:23" s="79" customFormat="1" ht="25.5" x14ac:dyDescent="0.2">
      <c r="A236" s="1" t="s">
        <v>174</v>
      </c>
      <c r="B236" s="2" t="s">
        <v>16</v>
      </c>
      <c r="C236" s="2" t="s">
        <v>175</v>
      </c>
      <c r="D236" s="2" t="s">
        <v>132</v>
      </c>
      <c r="E236" s="2">
        <v>2023</v>
      </c>
      <c r="F236" s="2" t="s">
        <v>388</v>
      </c>
      <c r="G236" s="2" t="s">
        <v>3095</v>
      </c>
      <c r="H236" s="2" t="s">
        <v>3092</v>
      </c>
      <c r="I236" s="1" t="s">
        <v>14</v>
      </c>
      <c r="J236" s="1" t="s">
        <v>4591</v>
      </c>
      <c r="K236" s="17"/>
      <c r="L236" s="54">
        <v>0.24479999999999999</v>
      </c>
      <c r="M236" s="39"/>
      <c r="N236" s="39"/>
      <c r="O236" s="39"/>
      <c r="P236" s="39"/>
      <c r="Q236" s="39"/>
      <c r="R236" s="39"/>
      <c r="S236" s="39">
        <v>47.9</v>
      </c>
      <c r="T236" s="39"/>
      <c r="U236" s="39"/>
      <c r="V236" s="39"/>
      <c r="W236" s="92" t="s">
        <v>1737</v>
      </c>
    </row>
    <row r="237" spans="1:23" s="79" customFormat="1" ht="63.75" x14ac:dyDescent="0.2">
      <c r="A237" s="1" t="s">
        <v>41</v>
      </c>
      <c r="B237" s="2" t="s">
        <v>38</v>
      </c>
      <c r="C237" s="2" t="s">
        <v>42</v>
      </c>
      <c r="D237" s="2" t="s">
        <v>43</v>
      </c>
      <c r="E237" s="2">
        <v>2023</v>
      </c>
      <c r="F237" s="2" t="s">
        <v>13</v>
      </c>
      <c r="G237" s="2" t="s">
        <v>3095</v>
      </c>
      <c r="H237" s="2" t="s">
        <v>3092</v>
      </c>
      <c r="I237" s="1" t="s">
        <v>14</v>
      </c>
      <c r="J237" s="1" t="s">
        <v>4592</v>
      </c>
      <c r="K237" s="17"/>
      <c r="L237" s="80" t="s">
        <v>4593</v>
      </c>
      <c r="M237" s="15"/>
      <c r="N237" s="15"/>
      <c r="O237" s="15">
        <f>1117.7+176.98</f>
        <v>1294.68</v>
      </c>
      <c r="P237" s="15"/>
      <c r="Q237" s="15"/>
      <c r="R237" s="15"/>
      <c r="S237" s="15"/>
      <c r="T237" s="15"/>
      <c r="U237" s="15"/>
      <c r="V237" s="15"/>
      <c r="W237" s="92" t="s">
        <v>4594</v>
      </c>
    </row>
    <row r="238" spans="1:23" s="79" customFormat="1" ht="63.75" x14ac:dyDescent="0.2">
      <c r="A238" s="1" t="s">
        <v>41</v>
      </c>
      <c r="B238" s="2" t="s">
        <v>38</v>
      </c>
      <c r="C238" s="2" t="s">
        <v>42</v>
      </c>
      <c r="D238" s="2" t="s">
        <v>43</v>
      </c>
      <c r="E238" s="2">
        <v>2023</v>
      </c>
      <c r="F238" s="2" t="s">
        <v>188</v>
      </c>
      <c r="G238" s="2" t="s">
        <v>3095</v>
      </c>
      <c r="H238" s="2" t="s">
        <v>3092</v>
      </c>
      <c r="I238" s="1" t="s">
        <v>14</v>
      </c>
      <c r="J238" s="1" t="s">
        <v>4595</v>
      </c>
      <c r="K238" s="17"/>
      <c r="L238" s="80" t="s">
        <v>4596</v>
      </c>
      <c r="M238" s="39"/>
      <c r="N238" s="39"/>
      <c r="O238" s="39">
        <f>1364.08+103.65</f>
        <v>1467.73</v>
      </c>
      <c r="P238" s="39"/>
      <c r="Q238" s="39"/>
      <c r="R238" s="39"/>
      <c r="S238" s="39"/>
      <c r="T238" s="39"/>
      <c r="U238" s="39"/>
      <c r="V238" s="39"/>
      <c r="W238" s="92" t="s">
        <v>4594</v>
      </c>
    </row>
    <row r="239" spans="1:23" s="79" customFormat="1" ht="51" x14ac:dyDescent="0.2">
      <c r="A239" s="1" t="s">
        <v>41</v>
      </c>
      <c r="B239" s="2" t="s">
        <v>38</v>
      </c>
      <c r="C239" s="2" t="s">
        <v>42</v>
      </c>
      <c r="D239" s="2" t="s">
        <v>43</v>
      </c>
      <c r="E239" s="2">
        <v>2023</v>
      </c>
      <c r="F239" s="2" t="s">
        <v>203</v>
      </c>
      <c r="G239" s="2" t="s">
        <v>3095</v>
      </c>
      <c r="H239" s="2" t="s">
        <v>3092</v>
      </c>
      <c r="I239" s="1" t="s">
        <v>14</v>
      </c>
      <c r="J239" s="1" t="s">
        <v>4597</v>
      </c>
      <c r="K239" s="17"/>
      <c r="L239" s="54">
        <v>0.22189999999999999</v>
      </c>
      <c r="M239" s="39"/>
      <c r="N239" s="39"/>
      <c r="O239" s="39">
        <v>1895.3</v>
      </c>
      <c r="P239" s="39"/>
      <c r="Q239" s="39"/>
      <c r="R239" s="39"/>
      <c r="S239" s="39"/>
      <c r="T239" s="39"/>
      <c r="U239" s="39"/>
      <c r="V239" s="39"/>
      <c r="W239" s="92" t="s">
        <v>1710</v>
      </c>
    </row>
    <row r="240" spans="1:23" s="79" customFormat="1" ht="51" x14ac:dyDescent="0.2">
      <c r="A240" s="1" t="s">
        <v>41</v>
      </c>
      <c r="B240" s="2" t="s">
        <v>38</v>
      </c>
      <c r="C240" s="2" t="s">
        <v>42</v>
      </c>
      <c r="D240" s="2" t="s">
        <v>43</v>
      </c>
      <c r="E240" s="2">
        <v>2023</v>
      </c>
      <c r="F240" s="2" t="s">
        <v>211</v>
      </c>
      <c r="G240" s="2" t="s">
        <v>3095</v>
      </c>
      <c r="H240" s="2" t="s">
        <v>3092</v>
      </c>
      <c r="I240" s="1" t="s">
        <v>14</v>
      </c>
      <c r="J240" s="1" t="s">
        <v>4598</v>
      </c>
      <c r="K240" s="17"/>
      <c r="L240" s="54">
        <v>0.24099999999999999</v>
      </c>
      <c r="M240" s="39"/>
      <c r="N240" s="39"/>
      <c r="O240" s="39">
        <v>1725.09</v>
      </c>
      <c r="P240" s="39"/>
      <c r="Q240" s="39"/>
      <c r="R240" s="39"/>
      <c r="S240" s="39"/>
      <c r="T240" s="39"/>
      <c r="U240" s="39"/>
      <c r="V240" s="39"/>
      <c r="W240" s="92" t="s">
        <v>1710</v>
      </c>
    </row>
    <row r="241" spans="1:23" s="79" customFormat="1" ht="51" x14ac:dyDescent="0.2">
      <c r="A241" s="1" t="s">
        <v>41</v>
      </c>
      <c r="B241" s="2" t="s">
        <v>38</v>
      </c>
      <c r="C241" s="2" t="s">
        <v>42</v>
      </c>
      <c r="D241" s="2" t="s">
        <v>43</v>
      </c>
      <c r="E241" s="2">
        <v>2023</v>
      </c>
      <c r="F241" s="2" t="s">
        <v>221</v>
      </c>
      <c r="G241" s="2" t="s">
        <v>3095</v>
      </c>
      <c r="H241" s="2" t="s">
        <v>3092</v>
      </c>
      <c r="I241" s="1" t="s">
        <v>14</v>
      </c>
      <c r="J241" s="1" t="s">
        <v>4599</v>
      </c>
      <c r="K241" s="17"/>
      <c r="L241" s="54">
        <v>0.24840000000000001</v>
      </c>
      <c r="M241" s="39"/>
      <c r="N241" s="39"/>
      <c r="O241" s="39">
        <v>2213.0500000000002</v>
      </c>
      <c r="P241" s="39"/>
      <c r="Q241" s="39"/>
      <c r="R241" s="39"/>
      <c r="S241" s="39"/>
      <c r="T241" s="39"/>
      <c r="U241" s="39"/>
      <c r="V241" s="39"/>
      <c r="W241" s="92" t="s">
        <v>1710</v>
      </c>
    </row>
    <row r="242" spans="1:23" s="79" customFormat="1" ht="51" x14ac:dyDescent="0.2">
      <c r="A242" s="1" t="s">
        <v>41</v>
      </c>
      <c r="B242" s="2" t="s">
        <v>38</v>
      </c>
      <c r="C242" s="2" t="s">
        <v>42</v>
      </c>
      <c r="D242" s="2" t="s">
        <v>43</v>
      </c>
      <c r="E242" s="2">
        <v>2023</v>
      </c>
      <c r="F242" s="2" t="s">
        <v>256</v>
      </c>
      <c r="G242" s="2" t="s">
        <v>3095</v>
      </c>
      <c r="H242" s="2" t="s">
        <v>3092</v>
      </c>
      <c r="I242" s="1" t="s">
        <v>14</v>
      </c>
      <c r="J242" s="1" t="s">
        <v>4600</v>
      </c>
      <c r="K242" s="17"/>
      <c r="L242" s="54">
        <v>0.25090000000000001</v>
      </c>
      <c r="M242" s="39"/>
      <c r="N242" s="39"/>
      <c r="O242" s="39">
        <v>1603.05</v>
      </c>
      <c r="P242" s="39"/>
      <c r="Q242" s="39"/>
      <c r="R242" s="39"/>
      <c r="S242" s="39"/>
      <c r="T242" s="39"/>
      <c r="U242" s="39"/>
      <c r="V242" s="39"/>
      <c r="W242" s="92" t="s">
        <v>1710</v>
      </c>
    </row>
    <row r="243" spans="1:23" s="79" customFormat="1" ht="51" x14ac:dyDescent="0.2">
      <c r="A243" s="1" t="s">
        <v>41</v>
      </c>
      <c r="B243" s="2" t="s">
        <v>38</v>
      </c>
      <c r="C243" s="2" t="s">
        <v>42</v>
      </c>
      <c r="D243" s="2" t="s">
        <v>43</v>
      </c>
      <c r="E243" s="2">
        <v>2023</v>
      </c>
      <c r="F243" s="2" t="s">
        <v>276</v>
      </c>
      <c r="G243" s="2" t="s">
        <v>3095</v>
      </c>
      <c r="H243" s="2" t="s">
        <v>3092</v>
      </c>
      <c r="I243" s="1" t="s">
        <v>14</v>
      </c>
      <c r="J243" s="1" t="s">
        <v>4601</v>
      </c>
      <c r="K243" s="17"/>
      <c r="L243" s="54">
        <v>0.25309999999999999</v>
      </c>
      <c r="M243" s="39"/>
      <c r="N243" s="39"/>
      <c r="O243" s="39">
        <v>2039.8</v>
      </c>
      <c r="P243" s="39"/>
      <c r="Q243" s="39"/>
      <c r="R243" s="39"/>
      <c r="S243" s="39"/>
      <c r="T243" s="14"/>
      <c r="U243" s="39"/>
      <c r="V243" s="39"/>
      <c r="W243" s="92" t="s">
        <v>1710</v>
      </c>
    </row>
    <row r="244" spans="1:23" s="79" customFormat="1" ht="51" x14ac:dyDescent="0.2">
      <c r="A244" s="1" t="s">
        <v>41</v>
      </c>
      <c r="B244" s="2" t="s">
        <v>38</v>
      </c>
      <c r="C244" s="2" t="s">
        <v>42</v>
      </c>
      <c r="D244" s="2" t="s">
        <v>43</v>
      </c>
      <c r="E244" s="2">
        <v>2023</v>
      </c>
      <c r="F244" s="2" t="s">
        <v>291</v>
      </c>
      <c r="G244" s="2" t="s">
        <v>3095</v>
      </c>
      <c r="H244" s="2" t="s">
        <v>3092</v>
      </c>
      <c r="I244" s="1" t="s">
        <v>14</v>
      </c>
      <c r="J244" s="1" t="s">
        <v>4602</v>
      </c>
      <c r="K244" s="17"/>
      <c r="L244" s="54">
        <v>0.25109999999999999</v>
      </c>
      <c r="M244" s="3"/>
      <c r="N244" s="39"/>
      <c r="O244" s="3">
        <v>1639</v>
      </c>
      <c r="P244" s="39"/>
      <c r="Q244" s="39"/>
      <c r="R244" s="39"/>
      <c r="S244" s="39"/>
      <c r="T244" s="39"/>
      <c r="U244" s="39"/>
      <c r="V244" s="3"/>
      <c r="W244" s="92" t="s">
        <v>1710</v>
      </c>
    </row>
    <row r="245" spans="1:23" s="79" customFormat="1" ht="51" x14ac:dyDescent="0.2">
      <c r="A245" s="1" t="s">
        <v>41</v>
      </c>
      <c r="B245" s="2" t="s">
        <v>38</v>
      </c>
      <c r="C245" s="2" t="s">
        <v>42</v>
      </c>
      <c r="D245" s="2" t="s">
        <v>43</v>
      </c>
      <c r="E245" s="2">
        <v>2023</v>
      </c>
      <c r="F245" s="2" t="s">
        <v>311</v>
      </c>
      <c r="G245" s="2" t="s">
        <v>3095</v>
      </c>
      <c r="H245" s="2" t="s">
        <v>3092</v>
      </c>
      <c r="I245" s="1" t="s">
        <v>14</v>
      </c>
      <c r="J245" s="1" t="s">
        <v>4603</v>
      </c>
      <c r="K245" s="17"/>
      <c r="L245" s="54">
        <v>0.23230000000000001</v>
      </c>
      <c r="M245" s="39"/>
      <c r="N245" s="39"/>
      <c r="O245" s="39">
        <v>1882.2</v>
      </c>
      <c r="P245" s="39"/>
      <c r="Q245" s="39"/>
      <c r="R245" s="39"/>
      <c r="S245" s="39"/>
      <c r="T245" s="39"/>
      <c r="U245" s="39"/>
      <c r="V245" s="39"/>
      <c r="W245" s="92" t="s">
        <v>1710</v>
      </c>
    </row>
    <row r="246" spans="1:23" s="79" customFormat="1" ht="51" x14ac:dyDescent="0.2">
      <c r="A246" s="1" t="s">
        <v>41</v>
      </c>
      <c r="B246" s="2" t="s">
        <v>38</v>
      </c>
      <c r="C246" s="2" t="s">
        <v>42</v>
      </c>
      <c r="D246" s="2" t="s">
        <v>43</v>
      </c>
      <c r="E246" s="2">
        <v>2023</v>
      </c>
      <c r="F246" s="2" t="s">
        <v>337</v>
      </c>
      <c r="G246" s="2" t="s">
        <v>3095</v>
      </c>
      <c r="H246" s="2" t="s">
        <v>3092</v>
      </c>
      <c r="I246" s="1" t="s">
        <v>14</v>
      </c>
      <c r="J246" s="1" t="s">
        <v>4604</v>
      </c>
      <c r="K246" s="17"/>
      <c r="L246" s="54">
        <v>0.2218</v>
      </c>
      <c r="M246" s="39"/>
      <c r="N246" s="39"/>
      <c r="O246" s="39">
        <v>1951.11</v>
      </c>
      <c r="P246" s="39"/>
      <c r="Q246" s="39"/>
      <c r="R246" s="39"/>
      <c r="S246" s="39"/>
      <c r="T246" s="39"/>
      <c r="U246" s="39"/>
      <c r="V246" s="39"/>
      <c r="W246" s="92" t="s">
        <v>1710</v>
      </c>
    </row>
    <row r="247" spans="1:23" s="79" customFormat="1" ht="51" x14ac:dyDescent="0.2">
      <c r="A247" s="1" t="s">
        <v>41</v>
      </c>
      <c r="B247" s="2" t="s">
        <v>38</v>
      </c>
      <c r="C247" s="2" t="s">
        <v>42</v>
      </c>
      <c r="D247" s="2" t="s">
        <v>43</v>
      </c>
      <c r="E247" s="2">
        <v>2023</v>
      </c>
      <c r="F247" s="2" t="s">
        <v>364</v>
      </c>
      <c r="G247" s="2" t="s">
        <v>3095</v>
      </c>
      <c r="H247" s="2" t="s">
        <v>3092</v>
      </c>
      <c r="I247" s="1" t="s">
        <v>14</v>
      </c>
      <c r="J247" s="1" t="s">
        <v>4605</v>
      </c>
      <c r="K247" s="17"/>
      <c r="L247" s="54">
        <v>0.20610000000000001</v>
      </c>
      <c r="M247" s="39"/>
      <c r="N247" s="39"/>
      <c r="O247" s="39">
        <v>2554.1</v>
      </c>
      <c r="P247" s="39"/>
      <c r="Q247" s="39"/>
      <c r="R247" s="39"/>
      <c r="S247" s="39"/>
      <c r="T247" s="39"/>
      <c r="U247" s="39"/>
      <c r="V247" s="39"/>
      <c r="W247" s="92" t="s">
        <v>1710</v>
      </c>
    </row>
    <row r="248" spans="1:23" s="79" customFormat="1" ht="51" x14ac:dyDescent="0.2">
      <c r="A248" s="1" t="s">
        <v>41</v>
      </c>
      <c r="B248" s="2" t="s">
        <v>38</v>
      </c>
      <c r="C248" s="2" t="s">
        <v>42</v>
      </c>
      <c r="D248" s="2" t="s">
        <v>43</v>
      </c>
      <c r="E248" s="2">
        <v>2023</v>
      </c>
      <c r="F248" s="2" t="s">
        <v>388</v>
      </c>
      <c r="G248" s="2" t="s">
        <v>3095</v>
      </c>
      <c r="H248" s="2" t="s">
        <v>3092</v>
      </c>
      <c r="I248" s="1" t="s">
        <v>14</v>
      </c>
      <c r="J248" s="1" t="s">
        <v>4606</v>
      </c>
      <c r="K248" s="17"/>
      <c r="L248" s="54">
        <v>0.2273</v>
      </c>
      <c r="M248" s="39"/>
      <c r="N248" s="39"/>
      <c r="O248" s="39">
        <v>2037.95</v>
      </c>
      <c r="P248" s="39"/>
      <c r="Q248" s="39"/>
      <c r="R248" s="39"/>
      <c r="S248" s="39"/>
      <c r="T248" s="39"/>
      <c r="U248" s="39"/>
      <c r="V248" s="39"/>
      <c r="W248" s="92" t="s">
        <v>1710</v>
      </c>
    </row>
    <row r="249" spans="1:23" s="79" customFormat="1" ht="293.25" x14ac:dyDescent="0.2">
      <c r="A249" s="1" t="s">
        <v>52</v>
      </c>
      <c r="B249" s="2" t="s">
        <v>53</v>
      </c>
      <c r="C249" s="2" t="s">
        <v>54</v>
      </c>
      <c r="D249" s="2" t="s">
        <v>55</v>
      </c>
      <c r="E249" s="2">
        <v>2023</v>
      </c>
      <c r="F249" s="2" t="s">
        <v>13</v>
      </c>
      <c r="G249" s="2" t="s">
        <v>3095</v>
      </c>
      <c r="H249" s="2" t="s">
        <v>3092</v>
      </c>
      <c r="I249" s="1" t="s">
        <v>14</v>
      </c>
      <c r="J249" s="1" t="s">
        <v>4607</v>
      </c>
      <c r="K249" s="17"/>
      <c r="L249" s="54">
        <v>0.15659999999999999</v>
      </c>
      <c r="M249" s="39"/>
      <c r="N249" s="39"/>
      <c r="O249" s="39">
        <v>1637.71</v>
      </c>
      <c r="P249" s="39"/>
      <c r="Q249" s="39"/>
      <c r="R249" s="39"/>
      <c r="S249" s="39"/>
      <c r="T249" s="39"/>
      <c r="U249" s="39"/>
      <c r="V249" s="39"/>
      <c r="W249" s="92"/>
    </row>
    <row r="250" spans="1:23" s="79" customFormat="1" ht="191.25" x14ac:dyDescent="0.2">
      <c r="A250" s="1" t="s">
        <v>52</v>
      </c>
      <c r="B250" s="2" t="s">
        <v>53</v>
      </c>
      <c r="C250" s="2" t="s">
        <v>54</v>
      </c>
      <c r="D250" s="2" t="s">
        <v>55</v>
      </c>
      <c r="E250" s="2">
        <v>2023</v>
      </c>
      <c r="F250" s="2" t="s">
        <v>188</v>
      </c>
      <c r="G250" s="2" t="s">
        <v>3095</v>
      </c>
      <c r="H250" s="2" t="s">
        <v>3092</v>
      </c>
      <c r="I250" s="1" t="s">
        <v>14</v>
      </c>
      <c r="J250" s="1" t="s">
        <v>4608</v>
      </c>
      <c r="K250" s="17"/>
      <c r="L250" s="54">
        <v>0.1701</v>
      </c>
      <c r="M250" s="39"/>
      <c r="N250" s="39"/>
      <c r="O250" s="39">
        <v>964.65</v>
      </c>
      <c r="P250" s="39"/>
      <c r="Q250" s="39"/>
      <c r="R250" s="39"/>
      <c r="S250" s="39"/>
      <c r="T250" s="39"/>
      <c r="U250" s="39"/>
      <c r="V250" s="39"/>
      <c r="W250" s="92"/>
    </row>
    <row r="251" spans="1:23" s="79" customFormat="1" ht="242.25" x14ac:dyDescent="0.2">
      <c r="A251" s="1" t="s">
        <v>52</v>
      </c>
      <c r="B251" s="2" t="s">
        <v>53</v>
      </c>
      <c r="C251" s="2" t="s">
        <v>54</v>
      </c>
      <c r="D251" s="2" t="s">
        <v>55</v>
      </c>
      <c r="E251" s="2">
        <v>2023</v>
      </c>
      <c r="F251" s="2" t="s">
        <v>203</v>
      </c>
      <c r="G251" s="2" t="s">
        <v>3095</v>
      </c>
      <c r="H251" s="2" t="s">
        <v>3092</v>
      </c>
      <c r="I251" s="1" t="s">
        <v>14</v>
      </c>
      <c r="J251" s="1" t="s">
        <v>4609</v>
      </c>
      <c r="K251" s="17"/>
      <c r="L251" s="54">
        <v>0.15559999999999999</v>
      </c>
      <c r="M251" s="39"/>
      <c r="N251" s="39"/>
      <c r="O251" s="39">
        <v>1561.64</v>
      </c>
      <c r="P251" s="39"/>
      <c r="Q251" s="39"/>
      <c r="R251" s="39"/>
      <c r="S251" s="39"/>
      <c r="T251" s="39"/>
      <c r="U251" s="39"/>
      <c r="V251" s="39"/>
      <c r="W251" s="92"/>
    </row>
    <row r="252" spans="1:23" s="79" customFormat="1" ht="267.75" x14ac:dyDescent="0.2">
      <c r="A252" s="1" t="s">
        <v>52</v>
      </c>
      <c r="B252" s="2" t="s">
        <v>53</v>
      </c>
      <c r="C252" s="2" t="s">
        <v>54</v>
      </c>
      <c r="D252" s="2" t="s">
        <v>55</v>
      </c>
      <c r="E252" s="2">
        <v>2023</v>
      </c>
      <c r="F252" s="2" t="s">
        <v>211</v>
      </c>
      <c r="G252" s="2" t="s">
        <v>3095</v>
      </c>
      <c r="H252" s="2" t="s">
        <v>3092</v>
      </c>
      <c r="I252" s="1" t="s">
        <v>14</v>
      </c>
      <c r="J252" s="1" t="s">
        <v>4610</v>
      </c>
      <c r="K252" s="17"/>
      <c r="L252" s="54">
        <v>0.15479999999999999</v>
      </c>
      <c r="M252" s="39"/>
      <c r="N252" s="39"/>
      <c r="O252" s="39">
        <v>1797.82</v>
      </c>
      <c r="P252" s="39"/>
      <c r="Q252" s="39"/>
      <c r="R252" s="39"/>
      <c r="S252" s="39"/>
      <c r="T252" s="39"/>
      <c r="U252" s="39"/>
      <c r="V252" s="39"/>
      <c r="W252" s="92" t="s">
        <v>3081</v>
      </c>
    </row>
    <row r="253" spans="1:23" s="79" customFormat="1" ht="318.75" x14ac:dyDescent="0.2">
      <c r="A253" s="1" t="s">
        <v>52</v>
      </c>
      <c r="B253" s="2" t="s">
        <v>53</v>
      </c>
      <c r="C253" s="2" t="s">
        <v>54</v>
      </c>
      <c r="D253" s="2" t="s">
        <v>55</v>
      </c>
      <c r="E253" s="2">
        <v>2023</v>
      </c>
      <c r="F253" s="2" t="s">
        <v>221</v>
      </c>
      <c r="G253" s="2" t="s">
        <v>3095</v>
      </c>
      <c r="H253" s="2" t="s">
        <v>3092</v>
      </c>
      <c r="I253" s="1" t="s">
        <v>14</v>
      </c>
      <c r="J253" s="1" t="s">
        <v>4611</v>
      </c>
      <c r="K253" s="17"/>
      <c r="L253" s="54">
        <v>0.1547</v>
      </c>
      <c r="M253" s="39"/>
      <c r="N253" s="39"/>
      <c r="O253" s="39">
        <v>1831.48</v>
      </c>
      <c r="P253" s="39"/>
      <c r="Q253" s="39"/>
      <c r="R253" s="39"/>
      <c r="S253" s="39"/>
      <c r="T253" s="39"/>
      <c r="U253" s="39"/>
      <c r="V253" s="39"/>
      <c r="W253" s="92" t="s">
        <v>3081</v>
      </c>
    </row>
    <row r="254" spans="1:23" s="79" customFormat="1" ht="267.75" x14ac:dyDescent="0.2">
      <c r="A254" s="1" t="s">
        <v>52</v>
      </c>
      <c r="B254" s="2" t="s">
        <v>53</v>
      </c>
      <c r="C254" s="2" t="s">
        <v>54</v>
      </c>
      <c r="D254" s="2" t="s">
        <v>55</v>
      </c>
      <c r="E254" s="2">
        <v>2023</v>
      </c>
      <c r="F254" s="2" t="s">
        <v>256</v>
      </c>
      <c r="G254" s="2" t="s">
        <v>3095</v>
      </c>
      <c r="H254" s="2" t="s">
        <v>3092</v>
      </c>
      <c r="I254" s="1" t="s">
        <v>14</v>
      </c>
      <c r="J254" s="1" t="s">
        <v>4612</v>
      </c>
      <c r="K254" s="17"/>
      <c r="L254" s="54">
        <v>0.159</v>
      </c>
      <c r="M254" s="39"/>
      <c r="N254" s="39"/>
      <c r="O254" s="39">
        <v>1901.49</v>
      </c>
      <c r="P254" s="39"/>
      <c r="Q254" s="39"/>
      <c r="R254" s="39"/>
      <c r="S254" s="39"/>
      <c r="T254" s="39"/>
      <c r="U254" s="39"/>
      <c r="V254" s="39"/>
      <c r="W254" s="92"/>
    </row>
    <row r="255" spans="1:23" s="79" customFormat="1" ht="216.75" x14ac:dyDescent="0.2">
      <c r="A255" s="1" t="s">
        <v>52</v>
      </c>
      <c r="B255" s="2" t="s">
        <v>53</v>
      </c>
      <c r="C255" s="2" t="s">
        <v>54</v>
      </c>
      <c r="D255" s="2" t="s">
        <v>55</v>
      </c>
      <c r="E255" s="2">
        <v>2023</v>
      </c>
      <c r="F255" s="2" t="s">
        <v>276</v>
      </c>
      <c r="G255" s="2" t="s">
        <v>3095</v>
      </c>
      <c r="H255" s="2" t="s">
        <v>3092</v>
      </c>
      <c r="I255" s="1" t="s">
        <v>14</v>
      </c>
      <c r="J255" s="1" t="s">
        <v>4613</v>
      </c>
      <c r="K255" s="17"/>
      <c r="L255" s="54">
        <v>0.16489999999999999</v>
      </c>
      <c r="M255" s="39"/>
      <c r="N255" s="39"/>
      <c r="O255" s="39">
        <v>1737</v>
      </c>
      <c r="P255" s="39"/>
      <c r="Q255" s="39"/>
      <c r="R255" s="39"/>
      <c r="S255" s="39"/>
      <c r="T255" s="39"/>
      <c r="U255" s="39"/>
      <c r="V255" s="39"/>
      <c r="W255" s="92"/>
    </row>
    <row r="256" spans="1:23" s="79" customFormat="1" ht="267.75" x14ac:dyDescent="0.2">
      <c r="A256" s="1" t="s">
        <v>52</v>
      </c>
      <c r="B256" s="2" t="s">
        <v>53</v>
      </c>
      <c r="C256" s="2" t="s">
        <v>54</v>
      </c>
      <c r="D256" s="2" t="s">
        <v>55</v>
      </c>
      <c r="E256" s="2">
        <v>2023</v>
      </c>
      <c r="F256" s="2" t="s">
        <v>291</v>
      </c>
      <c r="G256" s="2" t="s">
        <v>3095</v>
      </c>
      <c r="H256" s="2" t="s">
        <v>3092</v>
      </c>
      <c r="I256" s="1" t="s">
        <v>14</v>
      </c>
      <c r="J256" s="1" t="s">
        <v>4614</v>
      </c>
      <c r="K256" s="17"/>
      <c r="L256" s="54">
        <v>0.17549999999999999</v>
      </c>
      <c r="M256" s="39"/>
      <c r="N256" s="39"/>
      <c r="O256" s="39">
        <v>1455.99</v>
      </c>
      <c r="P256" s="39"/>
      <c r="Q256" s="39"/>
      <c r="R256" s="39"/>
      <c r="S256" s="39"/>
      <c r="T256" s="39"/>
      <c r="U256" s="39"/>
      <c r="V256" s="39"/>
      <c r="W256" s="92" t="s">
        <v>3081</v>
      </c>
    </row>
    <row r="257" spans="1:24" s="79" customFormat="1" ht="229.5" x14ac:dyDescent="0.2">
      <c r="A257" s="1" t="s">
        <v>52</v>
      </c>
      <c r="B257" s="2" t="s">
        <v>53</v>
      </c>
      <c r="C257" s="2" t="s">
        <v>54</v>
      </c>
      <c r="D257" s="2" t="s">
        <v>55</v>
      </c>
      <c r="E257" s="2">
        <v>2023</v>
      </c>
      <c r="F257" s="2" t="s">
        <v>311</v>
      </c>
      <c r="G257" s="2" t="s">
        <v>3095</v>
      </c>
      <c r="H257" s="2" t="s">
        <v>3092</v>
      </c>
      <c r="I257" s="1" t="s">
        <v>14</v>
      </c>
      <c r="J257" s="1" t="s">
        <v>4615</v>
      </c>
      <c r="K257" s="17"/>
      <c r="L257" s="54">
        <v>0.1638</v>
      </c>
      <c r="M257" s="39"/>
      <c r="N257" s="39"/>
      <c r="O257" s="39">
        <v>1851.87</v>
      </c>
      <c r="P257" s="39"/>
      <c r="Q257" s="39"/>
      <c r="R257" s="39"/>
      <c r="S257" s="39"/>
      <c r="T257" s="39"/>
      <c r="U257" s="39"/>
      <c r="V257" s="39"/>
      <c r="W257" s="92"/>
    </row>
    <row r="258" spans="1:24" s="79" customFormat="1" ht="280.5" x14ac:dyDescent="0.2">
      <c r="A258" s="1" t="s">
        <v>52</v>
      </c>
      <c r="B258" s="2" t="s">
        <v>53</v>
      </c>
      <c r="C258" s="2" t="s">
        <v>54</v>
      </c>
      <c r="D258" s="2" t="s">
        <v>55</v>
      </c>
      <c r="E258" s="2">
        <v>2023</v>
      </c>
      <c r="F258" s="2" t="s">
        <v>337</v>
      </c>
      <c r="G258" s="2" t="s">
        <v>3095</v>
      </c>
      <c r="H258" s="2" t="s">
        <v>3092</v>
      </c>
      <c r="I258" s="1" t="s">
        <v>14</v>
      </c>
      <c r="J258" s="1" t="s">
        <v>4616</v>
      </c>
      <c r="K258" s="17"/>
      <c r="L258" s="54">
        <v>0.16300000000000001</v>
      </c>
      <c r="M258" s="39"/>
      <c r="N258" s="39"/>
      <c r="O258" s="39">
        <v>1773.93</v>
      </c>
      <c r="P258" s="39"/>
      <c r="Q258" s="39"/>
      <c r="R258" s="39"/>
      <c r="S258" s="39"/>
      <c r="T258" s="39"/>
      <c r="U258" s="39"/>
      <c r="V258" s="39"/>
      <c r="W258" s="92"/>
    </row>
    <row r="259" spans="1:24" s="79" customFormat="1" ht="216.75" x14ac:dyDescent="0.2">
      <c r="A259" s="1" t="s">
        <v>52</v>
      </c>
      <c r="B259" s="2" t="s">
        <v>53</v>
      </c>
      <c r="C259" s="2" t="s">
        <v>54</v>
      </c>
      <c r="D259" s="2" t="s">
        <v>55</v>
      </c>
      <c r="E259" s="2">
        <v>2023</v>
      </c>
      <c r="F259" s="2" t="s">
        <v>364</v>
      </c>
      <c r="G259" s="2" t="s">
        <v>3095</v>
      </c>
      <c r="H259" s="2" t="s">
        <v>3092</v>
      </c>
      <c r="I259" s="1" t="s">
        <v>14</v>
      </c>
      <c r="J259" s="1" t="s">
        <v>4617</v>
      </c>
      <c r="K259" s="17"/>
      <c r="L259" s="54">
        <v>0.16109999999999999</v>
      </c>
      <c r="M259" s="39"/>
      <c r="N259" s="39"/>
      <c r="O259" s="39">
        <v>2182.63</v>
      </c>
      <c r="P259" s="39"/>
      <c r="Q259" s="39"/>
      <c r="R259" s="39"/>
      <c r="S259" s="39"/>
      <c r="T259" s="39"/>
      <c r="U259" s="39"/>
      <c r="V259" s="39"/>
      <c r="W259" s="92"/>
    </row>
    <row r="260" spans="1:24" s="79" customFormat="1" ht="204" x14ac:dyDescent="0.2">
      <c r="A260" s="1" t="s">
        <v>52</v>
      </c>
      <c r="B260" s="2" t="s">
        <v>53</v>
      </c>
      <c r="C260" s="2" t="s">
        <v>54</v>
      </c>
      <c r="D260" s="2" t="s">
        <v>55</v>
      </c>
      <c r="E260" s="2">
        <v>2023</v>
      </c>
      <c r="F260" s="2" t="s">
        <v>388</v>
      </c>
      <c r="G260" s="2" t="s">
        <v>3095</v>
      </c>
      <c r="H260" s="2" t="s">
        <v>3092</v>
      </c>
      <c r="I260" s="1" t="s">
        <v>14</v>
      </c>
      <c r="J260" s="1" t="s">
        <v>4618</v>
      </c>
      <c r="K260" s="17"/>
      <c r="L260" s="54">
        <v>0.16189999999999999</v>
      </c>
      <c r="M260" s="39"/>
      <c r="N260" s="39"/>
      <c r="O260" s="39">
        <v>1607.96</v>
      </c>
      <c r="P260" s="39"/>
      <c r="Q260" s="39"/>
      <c r="R260" s="39"/>
      <c r="S260" s="39"/>
      <c r="T260" s="39"/>
      <c r="U260" s="39"/>
      <c r="V260" s="39"/>
      <c r="W260" s="92" t="s">
        <v>3081</v>
      </c>
    </row>
    <row r="261" spans="1:24" s="79" customFormat="1" ht="25.5" x14ac:dyDescent="0.2">
      <c r="A261" s="1" t="s">
        <v>130</v>
      </c>
      <c r="B261" s="2" t="s">
        <v>10</v>
      </c>
      <c r="C261" s="2" t="s">
        <v>131</v>
      </c>
      <c r="D261" s="2" t="s">
        <v>132</v>
      </c>
      <c r="E261" s="2">
        <v>2023</v>
      </c>
      <c r="F261" s="2" t="s">
        <v>13</v>
      </c>
      <c r="G261" s="2" t="s">
        <v>3095</v>
      </c>
      <c r="H261" s="2" t="s">
        <v>3092</v>
      </c>
      <c r="I261" s="1" t="s">
        <v>14</v>
      </c>
      <c r="J261" s="1" t="s">
        <v>2136</v>
      </c>
      <c r="K261" s="17"/>
      <c r="L261" s="54"/>
      <c r="M261" s="39"/>
      <c r="N261" s="39"/>
      <c r="O261" s="39"/>
      <c r="P261" s="39"/>
      <c r="Q261" s="39"/>
      <c r="R261" s="39"/>
      <c r="S261" s="39"/>
      <c r="T261" s="39"/>
      <c r="U261" s="39"/>
      <c r="V261" s="39"/>
      <c r="W261" s="92" t="s">
        <v>1735</v>
      </c>
    </row>
    <row r="262" spans="1:24" s="79" customFormat="1" ht="25.5" x14ac:dyDescent="0.2">
      <c r="A262" s="1" t="s">
        <v>130</v>
      </c>
      <c r="B262" s="2" t="s">
        <v>10</v>
      </c>
      <c r="C262" s="2" t="s">
        <v>131</v>
      </c>
      <c r="D262" s="2" t="s">
        <v>132</v>
      </c>
      <c r="E262" s="2">
        <v>2023</v>
      </c>
      <c r="F262" s="2" t="s">
        <v>188</v>
      </c>
      <c r="G262" s="2" t="s">
        <v>3095</v>
      </c>
      <c r="H262" s="2" t="s">
        <v>3092</v>
      </c>
      <c r="I262" s="1" t="s">
        <v>14</v>
      </c>
      <c r="J262" s="1" t="s">
        <v>4619</v>
      </c>
      <c r="K262" s="17"/>
      <c r="L262" s="54"/>
      <c r="M262" s="39"/>
      <c r="N262" s="39"/>
      <c r="O262" s="39"/>
      <c r="P262" s="39"/>
      <c r="Q262" s="39"/>
      <c r="R262" s="39"/>
      <c r="S262" s="39"/>
      <c r="T262" s="39"/>
      <c r="U262" s="39"/>
      <c r="V262" s="39"/>
      <c r="W262" s="92" t="s">
        <v>1735</v>
      </c>
    </row>
    <row r="263" spans="1:24" s="79" customFormat="1" ht="25.5" x14ac:dyDescent="0.2">
      <c r="A263" s="1" t="s">
        <v>130</v>
      </c>
      <c r="B263" s="2" t="s">
        <v>10</v>
      </c>
      <c r="C263" s="2" t="s">
        <v>131</v>
      </c>
      <c r="D263" s="2" t="s">
        <v>132</v>
      </c>
      <c r="E263" s="2">
        <v>2023</v>
      </c>
      <c r="F263" s="2" t="s">
        <v>203</v>
      </c>
      <c r="G263" s="2" t="s">
        <v>3095</v>
      </c>
      <c r="H263" s="2" t="s">
        <v>3092</v>
      </c>
      <c r="I263" s="1" t="s">
        <v>14</v>
      </c>
      <c r="J263" s="1" t="s">
        <v>439</v>
      </c>
      <c r="K263" s="17"/>
      <c r="L263" s="54"/>
      <c r="M263" s="39"/>
      <c r="N263" s="39"/>
      <c r="O263" s="39"/>
      <c r="P263" s="39"/>
      <c r="Q263" s="39"/>
      <c r="R263" s="39"/>
      <c r="S263" s="39"/>
      <c r="T263" s="39"/>
      <c r="U263" s="39"/>
      <c r="V263" s="39"/>
      <c r="W263" s="92" t="s">
        <v>1735</v>
      </c>
    </row>
    <row r="264" spans="1:24" s="79" customFormat="1" ht="25.5" x14ac:dyDescent="0.2">
      <c r="A264" s="1" t="s">
        <v>130</v>
      </c>
      <c r="B264" s="2" t="s">
        <v>10</v>
      </c>
      <c r="C264" s="2" t="s">
        <v>131</v>
      </c>
      <c r="D264" s="2" t="s">
        <v>132</v>
      </c>
      <c r="E264" s="2">
        <v>2023</v>
      </c>
      <c r="F264" s="2" t="s">
        <v>211</v>
      </c>
      <c r="G264" s="2" t="s">
        <v>3095</v>
      </c>
      <c r="H264" s="2" t="s">
        <v>3092</v>
      </c>
      <c r="I264" s="1" t="s">
        <v>14</v>
      </c>
      <c r="J264" s="1" t="s">
        <v>4620</v>
      </c>
      <c r="K264" s="17"/>
      <c r="L264" s="54"/>
      <c r="M264" s="39"/>
      <c r="N264" s="39"/>
      <c r="O264" s="39"/>
      <c r="P264" s="39"/>
      <c r="Q264" s="39"/>
      <c r="R264" s="39"/>
      <c r="S264" s="39"/>
      <c r="T264" s="39"/>
      <c r="U264" s="39"/>
      <c r="V264" s="39"/>
      <c r="W264" s="92" t="s">
        <v>1735</v>
      </c>
    </row>
    <row r="265" spans="1:24" s="79" customFormat="1" ht="25.5" x14ac:dyDescent="0.2">
      <c r="A265" s="1" t="s">
        <v>130</v>
      </c>
      <c r="B265" s="2" t="s">
        <v>10</v>
      </c>
      <c r="C265" s="2" t="s">
        <v>131</v>
      </c>
      <c r="D265" s="2" t="s">
        <v>132</v>
      </c>
      <c r="E265" s="2">
        <v>2023</v>
      </c>
      <c r="F265" s="2" t="s">
        <v>221</v>
      </c>
      <c r="G265" s="2" t="s">
        <v>3095</v>
      </c>
      <c r="H265" s="2" t="s">
        <v>3092</v>
      </c>
      <c r="I265" s="1" t="s">
        <v>14</v>
      </c>
      <c r="J265" s="1" t="s">
        <v>2136</v>
      </c>
      <c r="K265" s="17"/>
      <c r="L265" s="54"/>
      <c r="M265" s="39"/>
      <c r="N265" s="39"/>
      <c r="O265" s="39"/>
      <c r="P265" s="39"/>
      <c r="Q265" s="39"/>
      <c r="R265" s="39"/>
      <c r="S265" s="39"/>
      <c r="T265" s="39"/>
      <c r="U265" s="39"/>
      <c r="V265" s="39"/>
      <c r="W265" s="92" t="s">
        <v>1735</v>
      </c>
    </row>
    <row r="266" spans="1:24" s="79" customFormat="1" ht="25.5" x14ac:dyDescent="0.2">
      <c r="A266" s="1" t="s">
        <v>130</v>
      </c>
      <c r="B266" s="2" t="s">
        <v>10</v>
      </c>
      <c r="C266" s="2" t="s">
        <v>131</v>
      </c>
      <c r="D266" s="2" t="s">
        <v>132</v>
      </c>
      <c r="E266" s="2">
        <v>2023</v>
      </c>
      <c r="F266" s="2" t="s">
        <v>256</v>
      </c>
      <c r="G266" s="2" t="s">
        <v>3095</v>
      </c>
      <c r="H266" s="2" t="s">
        <v>3092</v>
      </c>
      <c r="I266" s="1" t="s">
        <v>14</v>
      </c>
      <c r="J266" s="1" t="s">
        <v>4621</v>
      </c>
      <c r="K266" s="17"/>
      <c r="L266" s="54"/>
      <c r="M266" s="39"/>
      <c r="N266" s="39"/>
      <c r="O266" s="39"/>
      <c r="P266" s="39"/>
      <c r="Q266" s="39"/>
      <c r="R266" s="39"/>
      <c r="S266" s="39"/>
      <c r="T266" s="39"/>
      <c r="U266" s="39"/>
      <c r="V266" s="39"/>
      <c r="W266" s="92" t="s">
        <v>1735</v>
      </c>
    </row>
    <row r="267" spans="1:24" s="79" customFormat="1" ht="25.5" x14ac:dyDescent="0.2">
      <c r="A267" s="1" t="s">
        <v>130</v>
      </c>
      <c r="B267" s="2" t="s">
        <v>10</v>
      </c>
      <c r="C267" s="2" t="s">
        <v>131</v>
      </c>
      <c r="D267" s="2" t="s">
        <v>132</v>
      </c>
      <c r="E267" s="2">
        <v>2023</v>
      </c>
      <c r="F267" s="2" t="s">
        <v>276</v>
      </c>
      <c r="G267" s="2" t="s">
        <v>3095</v>
      </c>
      <c r="H267" s="2" t="s">
        <v>3092</v>
      </c>
      <c r="I267" s="1" t="s">
        <v>14</v>
      </c>
      <c r="J267" s="1" t="s">
        <v>4622</v>
      </c>
      <c r="K267" s="17"/>
      <c r="L267" s="54"/>
      <c r="M267" s="39"/>
      <c r="N267" s="39"/>
      <c r="O267" s="39"/>
      <c r="P267" s="39"/>
      <c r="Q267" s="39"/>
      <c r="R267" s="39"/>
      <c r="S267" s="39"/>
      <c r="T267" s="39"/>
      <c r="U267" s="39"/>
      <c r="V267" s="39"/>
      <c r="W267" s="92" t="s">
        <v>1735</v>
      </c>
    </row>
    <row r="268" spans="1:24" s="79" customFormat="1" ht="25.5" x14ac:dyDescent="0.2">
      <c r="A268" s="1" t="s">
        <v>130</v>
      </c>
      <c r="B268" s="2" t="s">
        <v>10</v>
      </c>
      <c r="C268" s="2" t="s">
        <v>131</v>
      </c>
      <c r="D268" s="2" t="s">
        <v>132</v>
      </c>
      <c r="E268" s="2">
        <v>2023</v>
      </c>
      <c r="F268" s="2" t="s">
        <v>291</v>
      </c>
      <c r="G268" s="2" t="s">
        <v>3095</v>
      </c>
      <c r="H268" s="2" t="s">
        <v>3092</v>
      </c>
      <c r="I268" s="1" t="s">
        <v>14</v>
      </c>
      <c r="J268" s="1" t="s">
        <v>4623</v>
      </c>
      <c r="K268" s="17"/>
      <c r="L268" s="54"/>
      <c r="M268" s="39"/>
      <c r="N268" s="39"/>
      <c r="O268" s="39"/>
      <c r="P268" s="39"/>
      <c r="Q268" s="39"/>
      <c r="R268" s="39"/>
      <c r="S268" s="39"/>
      <c r="T268" s="39"/>
      <c r="U268" s="39"/>
      <c r="V268" s="39"/>
      <c r="W268" s="92" t="s">
        <v>1735</v>
      </c>
    </row>
    <row r="269" spans="1:24" s="79" customFormat="1" ht="25.5" x14ac:dyDescent="0.2">
      <c r="A269" s="1" t="s">
        <v>130</v>
      </c>
      <c r="B269" s="2" t="s">
        <v>10</v>
      </c>
      <c r="C269" s="2" t="s">
        <v>131</v>
      </c>
      <c r="D269" s="2" t="s">
        <v>132</v>
      </c>
      <c r="E269" s="2">
        <v>2023</v>
      </c>
      <c r="F269" s="2" t="s">
        <v>311</v>
      </c>
      <c r="G269" s="2" t="s">
        <v>3095</v>
      </c>
      <c r="H269" s="2" t="s">
        <v>3092</v>
      </c>
      <c r="I269" s="1" t="s">
        <v>14</v>
      </c>
      <c r="J269" s="1" t="s">
        <v>4624</v>
      </c>
      <c r="K269" s="17"/>
      <c r="L269" s="54"/>
      <c r="M269" s="39"/>
      <c r="N269" s="39"/>
      <c r="O269" s="39"/>
      <c r="P269" s="39"/>
      <c r="Q269" s="39"/>
      <c r="R269" s="39"/>
      <c r="S269" s="39"/>
      <c r="T269" s="39"/>
      <c r="U269" s="39"/>
      <c r="V269" s="39"/>
      <c r="W269" s="92" t="s">
        <v>1735</v>
      </c>
    </row>
    <row r="270" spans="1:24" s="79" customFormat="1" ht="25.5" x14ac:dyDescent="0.2">
      <c r="A270" s="1" t="s">
        <v>130</v>
      </c>
      <c r="B270" s="2" t="s">
        <v>10</v>
      </c>
      <c r="C270" s="2" t="s">
        <v>131</v>
      </c>
      <c r="D270" s="2" t="s">
        <v>132</v>
      </c>
      <c r="E270" s="2">
        <v>2023</v>
      </c>
      <c r="F270" s="2" t="s">
        <v>364</v>
      </c>
      <c r="G270" s="2" t="s">
        <v>3095</v>
      </c>
      <c r="H270" s="2" t="s">
        <v>3092</v>
      </c>
      <c r="I270" s="1" t="s">
        <v>14</v>
      </c>
      <c r="J270" s="1" t="s">
        <v>4625</v>
      </c>
      <c r="K270" s="17"/>
      <c r="L270" s="54"/>
      <c r="M270" s="39"/>
      <c r="N270" s="39"/>
      <c r="O270" s="39"/>
      <c r="P270" s="39"/>
      <c r="Q270" s="39"/>
      <c r="R270" s="39"/>
      <c r="S270" s="39"/>
      <c r="T270" s="39"/>
      <c r="U270" s="39"/>
      <c r="V270" s="39"/>
      <c r="W270" s="92" t="s">
        <v>1735</v>
      </c>
    </row>
    <row r="271" spans="1:24" s="79" customFormat="1" ht="25.5" x14ac:dyDescent="0.2">
      <c r="A271" s="1" t="s">
        <v>130</v>
      </c>
      <c r="B271" s="2" t="s">
        <v>10</v>
      </c>
      <c r="C271" s="2" t="s">
        <v>131</v>
      </c>
      <c r="D271" s="2" t="s">
        <v>132</v>
      </c>
      <c r="E271" s="2">
        <v>2023</v>
      </c>
      <c r="F271" s="2" t="s">
        <v>388</v>
      </c>
      <c r="G271" s="2" t="s">
        <v>3095</v>
      </c>
      <c r="H271" s="2" t="s">
        <v>3092</v>
      </c>
      <c r="I271" s="1" t="s">
        <v>14</v>
      </c>
      <c r="J271" s="1" t="s">
        <v>4626</v>
      </c>
      <c r="K271" s="17"/>
      <c r="L271" s="58"/>
      <c r="M271" s="59"/>
      <c r="N271" s="59"/>
      <c r="O271" s="59"/>
      <c r="P271" s="59"/>
      <c r="Q271" s="59"/>
      <c r="R271" s="59"/>
      <c r="S271" s="59"/>
      <c r="T271" s="59"/>
      <c r="U271" s="59"/>
      <c r="V271" s="59"/>
      <c r="W271" s="92" t="s">
        <v>1735</v>
      </c>
      <c r="X271"/>
    </row>
    <row r="272" spans="1:24" s="79" customFormat="1" ht="25.5" x14ac:dyDescent="0.2">
      <c r="A272" s="1" t="s">
        <v>4627</v>
      </c>
      <c r="B272" s="2" t="s">
        <v>10</v>
      </c>
      <c r="C272" s="2" t="s">
        <v>4628</v>
      </c>
      <c r="D272" s="2" t="s">
        <v>124</v>
      </c>
      <c r="E272" s="2">
        <v>2023</v>
      </c>
      <c r="F272" s="2" t="s">
        <v>13</v>
      </c>
      <c r="G272" s="2" t="s">
        <v>3095</v>
      </c>
      <c r="H272" s="2" t="s">
        <v>3092</v>
      </c>
      <c r="I272" s="1" t="s">
        <v>14</v>
      </c>
      <c r="J272" s="1" t="s">
        <v>4629</v>
      </c>
      <c r="K272" s="17"/>
      <c r="L272" s="53"/>
      <c r="M272" s="39"/>
      <c r="N272" s="39"/>
      <c r="O272" s="39"/>
      <c r="P272" s="39"/>
      <c r="Q272" s="39"/>
      <c r="R272" s="39"/>
      <c r="S272" s="39"/>
      <c r="T272" s="39"/>
      <c r="U272" s="39"/>
      <c r="V272" s="39"/>
      <c r="W272" s="92" t="s">
        <v>1735</v>
      </c>
    </row>
    <row r="273" spans="1:24" s="79" customFormat="1" ht="25.5" x14ac:dyDescent="0.2">
      <c r="A273" s="1" t="s">
        <v>4627</v>
      </c>
      <c r="B273" s="2" t="s">
        <v>10</v>
      </c>
      <c r="C273" s="2" t="s">
        <v>4628</v>
      </c>
      <c r="D273" s="2" t="s">
        <v>124</v>
      </c>
      <c r="E273" s="2">
        <v>2023</v>
      </c>
      <c r="F273" s="2" t="s">
        <v>188</v>
      </c>
      <c r="G273" s="2" t="s">
        <v>3095</v>
      </c>
      <c r="H273" s="2" t="s">
        <v>3092</v>
      </c>
      <c r="I273" s="1" t="s">
        <v>14</v>
      </c>
      <c r="J273" s="1" t="s">
        <v>4629</v>
      </c>
      <c r="K273" s="17"/>
      <c r="L273" s="54"/>
      <c r="M273" s="39"/>
      <c r="N273" s="39"/>
      <c r="O273" s="39"/>
      <c r="P273" s="39"/>
      <c r="Q273" s="39"/>
      <c r="R273" s="39"/>
      <c r="S273" s="39"/>
      <c r="T273" s="39"/>
      <c r="U273" s="39"/>
      <c r="V273" s="39"/>
      <c r="W273" s="92" t="s">
        <v>1735</v>
      </c>
    </row>
    <row r="274" spans="1:24" s="79" customFormat="1" ht="25.5" x14ac:dyDescent="0.2">
      <c r="A274" s="1" t="s">
        <v>4627</v>
      </c>
      <c r="B274" s="2" t="s">
        <v>10</v>
      </c>
      <c r="C274" s="2" t="s">
        <v>4628</v>
      </c>
      <c r="D274" s="2" t="s">
        <v>124</v>
      </c>
      <c r="E274" s="2">
        <v>2023</v>
      </c>
      <c r="F274" s="2" t="s">
        <v>203</v>
      </c>
      <c r="G274" s="2" t="s">
        <v>3095</v>
      </c>
      <c r="H274" s="2" t="s">
        <v>3092</v>
      </c>
      <c r="I274" s="1" t="s">
        <v>14</v>
      </c>
      <c r="J274" s="1" t="s">
        <v>4629</v>
      </c>
      <c r="K274" s="17"/>
      <c r="L274" s="54"/>
      <c r="M274" s="39"/>
      <c r="N274" s="39"/>
      <c r="O274" s="39"/>
      <c r="P274" s="39"/>
      <c r="Q274" s="39"/>
      <c r="R274" s="39"/>
      <c r="S274" s="39"/>
      <c r="T274" s="39"/>
      <c r="U274" s="39"/>
      <c r="V274" s="39"/>
      <c r="W274" s="92" t="s">
        <v>1735</v>
      </c>
    </row>
    <row r="275" spans="1:24" s="79" customFormat="1" ht="25.5" x14ac:dyDescent="0.2">
      <c r="A275" s="1" t="s">
        <v>4627</v>
      </c>
      <c r="B275" s="2" t="s">
        <v>10</v>
      </c>
      <c r="C275" s="2" t="s">
        <v>4628</v>
      </c>
      <c r="D275" s="2" t="s">
        <v>124</v>
      </c>
      <c r="E275" s="2">
        <v>2023</v>
      </c>
      <c r="F275" s="2" t="s">
        <v>211</v>
      </c>
      <c r="G275" s="2" t="s">
        <v>3095</v>
      </c>
      <c r="H275" s="2" t="s">
        <v>3092</v>
      </c>
      <c r="I275" s="1" t="s">
        <v>14</v>
      </c>
      <c r="J275" s="1" t="s">
        <v>4629</v>
      </c>
      <c r="K275" s="17"/>
      <c r="L275" s="54"/>
      <c r="M275" s="39"/>
      <c r="N275" s="39"/>
      <c r="O275" s="39"/>
      <c r="P275" s="39"/>
      <c r="Q275" s="39"/>
      <c r="R275" s="39"/>
      <c r="S275" s="39"/>
      <c r="T275" s="39"/>
      <c r="U275" s="39"/>
      <c r="V275" s="39"/>
      <c r="W275" s="92" t="s">
        <v>1735</v>
      </c>
    </row>
    <row r="276" spans="1:24" s="79" customFormat="1" ht="25.5" x14ac:dyDescent="0.2">
      <c r="A276" s="1" t="s">
        <v>4627</v>
      </c>
      <c r="B276" s="2" t="s">
        <v>10</v>
      </c>
      <c r="C276" s="2" t="s">
        <v>4628</v>
      </c>
      <c r="D276" s="2" t="s">
        <v>124</v>
      </c>
      <c r="E276" s="2">
        <v>2023</v>
      </c>
      <c r="F276" s="2" t="s">
        <v>221</v>
      </c>
      <c r="G276" s="2" t="s">
        <v>3095</v>
      </c>
      <c r="H276" s="2" t="s">
        <v>3092</v>
      </c>
      <c r="I276" s="1" t="s">
        <v>14</v>
      </c>
      <c r="J276" s="1" t="s">
        <v>4629</v>
      </c>
      <c r="K276" s="17"/>
      <c r="L276" s="54"/>
      <c r="M276" s="39"/>
      <c r="N276" s="39"/>
      <c r="O276" s="39"/>
      <c r="P276" s="39"/>
      <c r="Q276" s="39"/>
      <c r="R276" s="39"/>
      <c r="S276" s="39"/>
      <c r="T276" s="39"/>
      <c r="U276" s="39"/>
      <c r="V276" s="39"/>
      <c r="W276" s="92" t="s">
        <v>1735</v>
      </c>
    </row>
    <row r="277" spans="1:24" s="79" customFormat="1" ht="25.5" x14ac:dyDescent="0.2">
      <c r="A277" s="1" t="s">
        <v>4627</v>
      </c>
      <c r="B277" s="2" t="s">
        <v>10</v>
      </c>
      <c r="C277" s="2" t="s">
        <v>4628</v>
      </c>
      <c r="D277" s="2" t="s">
        <v>124</v>
      </c>
      <c r="E277" s="2">
        <v>2023</v>
      </c>
      <c r="F277" s="2" t="s">
        <v>256</v>
      </c>
      <c r="G277" s="2" t="s">
        <v>3095</v>
      </c>
      <c r="H277" s="2" t="s">
        <v>3092</v>
      </c>
      <c r="I277" s="1" t="s">
        <v>14</v>
      </c>
      <c r="J277" s="1" t="s">
        <v>4629</v>
      </c>
      <c r="K277" s="17"/>
      <c r="L277" s="54"/>
      <c r="M277" s="39"/>
      <c r="N277" s="39"/>
      <c r="O277" s="39"/>
      <c r="P277" s="39"/>
      <c r="Q277" s="39"/>
      <c r="R277" s="39"/>
      <c r="S277" s="39"/>
      <c r="T277" s="39"/>
      <c r="U277" s="39"/>
      <c r="V277" s="39"/>
      <c r="W277" s="92" t="s">
        <v>1735</v>
      </c>
    </row>
    <row r="278" spans="1:24" s="79" customFormat="1" ht="25.5" x14ac:dyDescent="0.2">
      <c r="A278" s="1" t="s">
        <v>4627</v>
      </c>
      <c r="B278" s="2" t="s">
        <v>10</v>
      </c>
      <c r="C278" s="2" t="s">
        <v>4628</v>
      </c>
      <c r="D278" s="2" t="s">
        <v>124</v>
      </c>
      <c r="E278" s="2">
        <v>2023</v>
      </c>
      <c r="F278" s="2" t="s">
        <v>276</v>
      </c>
      <c r="G278" s="2" t="s">
        <v>3095</v>
      </c>
      <c r="H278" s="2" t="s">
        <v>3092</v>
      </c>
      <c r="I278" s="1" t="s">
        <v>14</v>
      </c>
      <c r="J278" s="1" t="s">
        <v>4629</v>
      </c>
      <c r="K278" s="17"/>
      <c r="L278" s="54"/>
      <c r="M278" s="39"/>
      <c r="N278" s="39"/>
      <c r="O278" s="39"/>
      <c r="P278" s="39"/>
      <c r="Q278" s="39"/>
      <c r="R278" s="39"/>
      <c r="S278" s="39"/>
      <c r="T278" s="39"/>
      <c r="U278" s="39"/>
      <c r="V278" s="39"/>
      <c r="W278" s="92" t="s">
        <v>1735</v>
      </c>
    </row>
    <row r="279" spans="1:24" s="79" customFormat="1" ht="25.5" x14ac:dyDescent="0.2">
      <c r="A279" s="1" t="s">
        <v>4627</v>
      </c>
      <c r="B279" s="2" t="s">
        <v>10</v>
      </c>
      <c r="C279" s="2" t="s">
        <v>4628</v>
      </c>
      <c r="D279" s="2" t="s">
        <v>124</v>
      </c>
      <c r="E279" s="2">
        <v>2023</v>
      </c>
      <c r="F279" s="2" t="s">
        <v>291</v>
      </c>
      <c r="G279" s="2" t="s">
        <v>3095</v>
      </c>
      <c r="H279" s="2" t="s">
        <v>3092</v>
      </c>
      <c r="I279" s="1" t="s">
        <v>14</v>
      </c>
      <c r="J279" s="1" t="s">
        <v>4629</v>
      </c>
      <c r="K279" s="17"/>
      <c r="L279" s="54"/>
      <c r="M279" s="39"/>
      <c r="N279" s="39"/>
      <c r="O279" s="39"/>
      <c r="P279" s="39"/>
      <c r="Q279" s="39"/>
      <c r="R279" s="39"/>
      <c r="S279" s="39"/>
      <c r="T279" s="39"/>
      <c r="U279" s="39"/>
      <c r="V279" s="39"/>
      <c r="W279" s="92" t="s">
        <v>1735</v>
      </c>
    </row>
    <row r="280" spans="1:24" s="79" customFormat="1" ht="25.5" x14ac:dyDescent="0.2">
      <c r="A280" s="1" t="s">
        <v>4627</v>
      </c>
      <c r="B280" s="2" t="s">
        <v>10</v>
      </c>
      <c r="C280" s="2" t="s">
        <v>4628</v>
      </c>
      <c r="D280" s="2" t="s">
        <v>124</v>
      </c>
      <c r="E280" s="2">
        <v>2023</v>
      </c>
      <c r="F280" s="2" t="s">
        <v>311</v>
      </c>
      <c r="G280" s="2" t="s">
        <v>3095</v>
      </c>
      <c r="H280" s="2" t="s">
        <v>3092</v>
      </c>
      <c r="I280" s="1" t="s">
        <v>14</v>
      </c>
      <c r="J280" s="1" t="s">
        <v>4629</v>
      </c>
      <c r="K280" s="17"/>
      <c r="L280" s="54"/>
      <c r="M280" s="39"/>
      <c r="N280" s="39"/>
      <c r="O280" s="39"/>
      <c r="P280" s="39"/>
      <c r="Q280" s="39"/>
      <c r="R280" s="39"/>
      <c r="S280" s="39"/>
      <c r="T280" s="39"/>
      <c r="U280" s="39"/>
      <c r="V280" s="39"/>
      <c r="W280" s="92" t="s">
        <v>1735</v>
      </c>
    </row>
    <row r="281" spans="1:24" s="79" customFormat="1" ht="25.5" x14ac:dyDescent="0.2">
      <c r="A281" s="1" t="s">
        <v>4627</v>
      </c>
      <c r="B281" s="2" t="s">
        <v>10</v>
      </c>
      <c r="C281" s="2" t="s">
        <v>4628</v>
      </c>
      <c r="D281" s="2" t="s">
        <v>124</v>
      </c>
      <c r="E281" s="2">
        <v>2023</v>
      </c>
      <c r="F281" s="2" t="s">
        <v>337</v>
      </c>
      <c r="G281" s="2" t="s">
        <v>3095</v>
      </c>
      <c r="H281" s="2" t="s">
        <v>3092</v>
      </c>
      <c r="I281" s="1" t="s">
        <v>14</v>
      </c>
      <c r="J281" s="1" t="s">
        <v>4629</v>
      </c>
      <c r="K281" s="17"/>
      <c r="L281" s="54"/>
      <c r="M281" s="39"/>
      <c r="N281" s="39"/>
      <c r="O281" s="39"/>
      <c r="P281" s="39"/>
      <c r="Q281" s="39"/>
      <c r="R281" s="39"/>
      <c r="S281" s="39"/>
      <c r="T281" s="39"/>
      <c r="U281" s="39"/>
      <c r="V281" s="39"/>
      <c r="W281" s="92" t="s">
        <v>1735</v>
      </c>
    </row>
    <row r="282" spans="1:24" s="79" customFormat="1" ht="25.5" x14ac:dyDescent="0.2">
      <c r="A282" s="1" t="s">
        <v>4627</v>
      </c>
      <c r="B282" s="2" t="s">
        <v>10</v>
      </c>
      <c r="C282" s="2" t="s">
        <v>4628</v>
      </c>
      <c r="D282" s="2" t="s">
        <v>124</v>
      </c>
      <c r="E282" s="2">
        <v>2023</v>
      </c>
      <c r="F282" s="2" t="s">
        <v>364</v>
      </c>
      <c r="G282" s="2" t="s">
        <v>3095</v>
      </c>
      <c r="H282" s="2" t="s">
        <v>3092</v>
      </c>
      <c r="I282" s="1" t="s">
        <v>14</v>
      </c>
      <c r="J282" s="1" t="s">
        <v>4629</v>
      </c>
      <c r="K282" s="17"/>
      <c r="L282" s="54"/>
      <c r="M282" s="39"/>
      <c r="N282" s="39"/>
      <c r="O282" s="39"/>
      <c r="P282" s="39"/>
      <c r="Q282" s="39"/>
      <c r="R282" s="39"/>
      <c r="S282" s="39"/>
      <c r="T282" s="39"/>
      <c r="U282" s="39"/>
      <c r="V282" s="39"/>
      <c r="W282" s="92" t="s">
        <v>1735</v>
      </c>
    </row>
    <row r="283" spans="1:24" s="79" customFormat="1" ht="25.5" x14ac:dyDescent="0.2">
      <c r="A283" s="1" t="s">
        <v>4627</v>
      </c>
      <c r="B283" s="2" t="s">
        <v>10</v>
      </c>
      <c r="C283" s="2" t="s">
        <v>4628</v>
      </c>
      <c r="D283" s="2" t="s">
        <v>124</v>
      </c>
      <c r="E283" s="2">
        <v>2023</v>
      </c>
      <c r="F283" s="2" t="s">
        <v>388</v>
      </c>
      <c r="G283" s="2" t="s">
        <v>3095</v>
      </c>
      <c r="H283" s="2" t="s">
        <v>3092</v>
      </c>
      <c r="I283" s="1" t="s">
        <v>14</v>
      </c>
      <c r="J283" s="1" t="s">
        <v>4630</v>
      </c>
      <c r="K283" s="17"/>
      <c r="L283" s="58"/>
      <c r="M283" s="59"/>
      <c r="N283" s="59"/>
      <c r="O283" s="59"/>
      <c r="P283" s="59"/>
      <c r="Q283" s="59"/>
      <c r="R283" s="59"/>
      <c r="S283" s="59"/>
      <c r="T283" s="59"/>
      <c r="U283" s="59"/>
      <c r="V283" s="59"/>
      <c r="W283" s="92" t="s">
        <v>1735</v>
      </c>
      <c r="X283"/>
    </row>
    <row r="284" spans="1:24" s="79" customFormat="1" ht="38.25" x14ac:dyDescent="0.2">
      <c r="A284" s="1" t="s">
        <v>4631</v>
      </c>
      <c r="B284" s="2" t="s">
        <v>198</v>
      </c>
      <c r="C284" s="2" t="s">
        <v>4632</v>
      </c>
      <c r="D284" s="2" t="s">
        <v>239</v>
      </c>
      <c r="E284" s="2">
        <v>2023</v>
      </c>
      <c r="F284" s="2" t="s">
        <v>291</v>
      </c>
      <c r="G284" s="2" t="s">
        <v>3092</v>
      </c>
      <c r="H284" s="2" t="s">
        <v>3093</v>
      </c>
      <c r="I284" s="1" t="s">
        <v>4633</v>
      </c>
      <c r="J284" s="1" t="s">
        <v>14</v>
      </c>
      <c r="K284" s="17"/>
      <c r="L284" s="54"/>
      <c r="M284" s="39"/>
      <c r="N284" s="39"/>
      <c r="O284" s="39"/>
      <c r="P284" s="39"/>
      <c r="Q284" s="39"/>
      <c r="R284" s="39"/>
      <c r="S284" s="39"/>
      <c r="T284" s="39"/>
      <c r="U284" s="39"/>
      <c r="V284" s="39"/>
      <c r="W284" s="92" t="s">
        <v>4454</v>
      </c>
    </row>
    <row r="285" spans="1:24" s="79" customFormat="1" ht="127.5" x14ac:dyDescent="0.2">
      <c r="A285" s="1" t="s">
        <v>321</v>
      </c>
      <c r="B285" s="2" t="s">
        <v>198</v>
      </c>
      <c r="C285" s="2" t="s">
        <v>322</v>
      </c>
      <c r="D285" s="2" t="s">
        <v>323</v>
      </c>
      <c r="E285" s="2">
        <v>2023</v>
      </c>
      <c r="F285" s="2" t="s">
        <v>311</v>
      </c>
      <c r="G285" s="2" t="s">
        <v>3092</v>
      </c>
      <c r="H285" s="2" t="s">
        <v>3093</v>
      </c>
      <c r="I285" s="1" t="s">
        <v>4634</v>
      </c>
      <c r="J285" s="1" t="s">
        <v>14</v>
      </c>
      <c r="K285" s="17"/>
      <c r="L285" s="54"/>
      <c r="M285" s="39"/>
      <c r="N285" s="39"/>
      <c r="O285" s="39"/>
      <c r="P285" s="39"/>
      <c r="Q285" s="39"/>
      <c r="R285" s="39"/>
      <c r="S285" s="39"/>
      <c r="T285" s="39"/>
      <c r="U285" s="39"/>
      <c r="V285" s="39"/>
      <c r="W285" s="92" t="s">
        <v>1693</v>
      </c>
    </row>
    <row r="286" spans="1:24" s="79" customFormat="1" ht="38.25" x14ac:dyDescent="0.2">
      <c r="A286" s="1" t="s">
        <v>2147</v>
      </c>
      <c r="B286" s="2" t="s">
        <v>198</v>
      </c>
      <c r="C286" s="2" t="s">
        <v>2148</v>
      </c>
      <c r="D286" s="2" t="s">
        <v>328</v>
      </c>
      <c r="E286" s="2">
        <v>2023</v>
      </c>
      <c r="F286" s="2" t="s">
        <v>276</v>
      </c>
      <c r="G286" s="2" t="s">
        <v>3092</v>
      </c>
      <c r="H286" s="2" t="s">
        <v>3092</v>
      </c>
      <c r="I286" s="1" t="s">
        <v>4635</v>
      </c>
      <c r="J286" s="1" t="s">
        <v>4636</v>
      </c>
      <c r="K286" s="17"/>
      <c r="L286" s="54"/>
      <c r="M286" s="39"/>
      <c r="N286" s="39"/>
      <c r="O286" s="39"/>
      <c r="P286" s="39"/>
      <c r="Q286" s="39"/>
      <c r="R286" s="39"/>
      <c r="S286" s="39"/>
      <c r="T286" s="39"/>
      <c r="U286" s="39"/>
      <c r="V286" s="39">
        <v>326</v>
      </c>
      <c r="W286" s="92" t="s">
        <v>1699</v>
      </c>
    </row>
    <row r="287" spans="1:24" s="79" customFormat="1" ht="51" x14ac:dyDescent="0.2">
      <c r="A287" s="1" t="s">
        <v>89</v>
      </c>
      <c r="B287" s="2" t="s">
        <v>16</v>
      </c>
      <c r="C287" s="2" t="s">
        <v>90</v>
      </c>
      <c r="D287" s="2" t="s">
        <v>91</v>
      </c>
      <c r="E287" s="2">
        <v>2023</v>
      </c>
      <c r="F287" s="2" t="s">
        <v>13</v>
      </c>
      <c r="G287" s="2" t="s">
        <v>3095</v>
      </c>
      <c r="H287" s="2" t="s">
        <v>3092</v>
      </c>
      <c r="I287" s="1" t="s">
        <v>14</v>
      </c>
      <c r="J287" s="1" t="s">
        <v>4637</v>
      </c>
      <c r="K287" s="17"/>
      <c r="L287" s="54">
        <v>0.37240000000000001</v>
      </c>
      <c r="M287" s="39"/>
      <c r="N287" s="39"/>
      <c r="O287" s="39"/>
      <c r="P287" s="39"/>
      <c r="Q287" s="39"/>
      <c r="R287" s="39"/>
      <c r="S287" s="39">
        <v>70.739999999999995</v>
      </c>
      <c r="T287" s="39"/>
      <c r="U287" s="39"/>
      <c r="V287" s="39"/>
      <c r="W287" s="92"/>
    </row>
    <row r="288" spans="1:24" s="79" customFormat="1" ht="51" x14ac:dyDescent="0.2">
      <c r="A288" s="1" t="s">
        <v>89</v>
      </c>
      <c r="B288" s="2" t="s">
        <v>16</v>
      </c>
      <c r="C288" s="2" t="s">
        <v>90</v>
      </c>
      <c r="D288" s="2" t="s">
        <v>91</v>
      </c>
      <c r="E288" s="2">
        <v>2023</v>
      </c>
      <c r="F288" s="2" t="s">
        <v>188</v>
      </c>
      <c r="G288" s="2" t="s">
        <v>3095</v>
      </c>
      <c r="H288" s="2" t="s">
        <v>3092</v>
      </c>
      <c r="I288" s="1" t="s">
        <v>14</v>
      </c>
      <c r="J288" s="1" t="s">
        <v>4638</v>
      </c>
      <c r="K288" s="17"/>
      <c r="L288" s="54">
        <v>0.39439999999999997</v>
      </c>
      <c r="M288" s="39"/>
      <c r="N288" s="39"/>
      <c r="O288" s="39"/>
      <c r="P288" s="39"/>
      <c r="Q288" s="39"/>
      <c r="R288" s="39"/>
      <c r="S288" s="3">
        <v>50.77</v>
      </c>
      <c r="T288" s="39"/>
      <c r="U288" s="39"/>
      <c r="V288" s="39"/>
      <c r="W288" s="92"/>
    </row>
    <row r="289" spans="1:24" s="79" customFormat="1" ht="51" x14ac:dyDescent="0.2">
      <c r="A289" s="1" t="s">
        <v>89</v>
      </c>
      <c r="B289" s="2" t="s">
        <v>16</v>
      </c>
      <c r="C289" s="2" t="s">
        <v>90</v>
      </c>
      <c r="D289" s="2" t="s">
        <v>91</v>
      </c>
      <c r="E289" s="2">
        <v>2023</v>
      </c>
      <c r="F289" s="2" t="s">
        <v>203</v>
      </c>
      <c r="G289" s="2" t="s">
        <v>3095</v>
      </c>
      <c r="H289" s="2" t="s">
        <v>3092</v>
      </c>
      <c r="I289" s="1" t="s">
        <v>14</v>
      </c>
      <c r="J289" s="1" t="s">
        <v>4639</v>
      </c>
      <c r="K289" s="17"/>
      <c r="L289" s="54">
        <v>0.40899999999999997</v>
      </c>
      <c r="M289" s="39"/>
      <c r="N289" s="39"/>
      <c r="O289" s="39"/>
      <c r="P289" s="39"/>
      <c r="Q289" s="39"/>
      <c r="R289" s="39"/>
      <c r="S289" s="3">
        <v>64.16</v>
      </c>
      <c r="T289" s="39"/>
      <c r="U289" s="39"/>
      <c r="V289" s="39"/>
      <c r="W289" s="92"/>
    </row>
    <row r="290" spans="1:24" s="79" customFormat="1" ht="51" x14ac:dyDescent="0.2">
      <c r="A290" s="1" t="s">
        <v>89</v>
      </c>
      <c r="B290" s="2" t="s">
        <v>16</v>
      </c>
      <c r="C290" s="2" t="s">
        <v>90</v>
      </c>
      <c r="D290" s="2" t="s">
        <v>91</v>
      </c>
      <c r="E290" s="2">
        <v>2023</v>
      </c>
      <c r="F290" s="2" t="s">
        <v>211</v>
      </c>
      <c r="G290" s="2" t="s">
        <v>3095</v>
      </c>
      <c r="H290" s="2" t="s">
        <v>3092</v>
      </c>
      <c r="I290" s="1" t="s">
        <v>14</v>
      </c>
      <c r="J290" s="1" t="s">
        <v>4640</v>
      </c>
      <c r="K290" s="17"/>
      <c r="L290" s="54">
        <v>0.39369999999999999</v>
      </c>
      <c r="M290" s="39"/>
      <c r="N290" s="39"/>
      <c r="O290" s="39"/>
      <c r="P290" s="39"/>
      <c r="Q290" s="39"/>
      <c r="R290" s="39"/>
      <c r="S290" s="39">
        <v>50.25</v>
      </c>
      <c r="T290" s="39"/>
      <c r="U290" s="39"/>
      <c r="V290" s="39"/>
      <c r="W290" s="92"/>
    </row>
    <row r="291" spans="1:24" s="79" customFormat="1" ht="51" x14ac:dyDescent="0.2">
      <c r="A291" s="1" t="s">
        <v>89</v>
      </c>
      <c r="B291" s="2" t="s">
        <v>16</v>
      </c>
      <c r="C291" s="2" t="s">
        <v>90</v>
      </c>
      <c r="D291" s="2" t="s">
        <v>91</v>
      </c>
      <c r="E291" s="2">
        <v>2023</v>
      </c>
      <c r="F291" s="2" t="s">
        <v>221</v>
      </c>
      <c r="G291" s="2" t="s">
        <v>3095</v>
      </c>
      <c r="H291" s="2" t="s">
        <v>3092</v>
      </c>
      <c r="I291" s="1" t="s">
        <v>14</v>
      </c>
      <c r="J291" s="1" t="s">
        <v>4641</v>
      </c>
      <c r="K291" s="17"/>
      <c r="L291" s="54">
        <v>0.38080000000000003</v>
      </c>
      <c r="M291" s="39"/>
      <c r="N291" s="39"/>
      <c r="O291" s="39"/>
      <c r="P291" s="39"/>
      <c r="Q291" s="39"/>
      <c r="R291" s="39"/>
      <c r="S291" s="39">
        <v>58.2</v>
      </c>
      <c r="T291" s="39"/>
      <c r="U291" s="39"/>
      <c r="V291" s="39"/>
      <c r="W291" s="92"/>
    </row>
    <row r="292" spans="1:24" s="79" customFormat="1" ht="51" x14ac:dyDescent="0.2">
      <c r="A292" s="1" t="s">
        <v>89</v>
      </c>
      <c r="B292" s="2" t="s">
        <v>16</v>
      </c>
      <c r="C292" s="2" t="s">
        <v>90</v>
      </c>
      <c r="D292" s="2" t="s">
        <v>91</v>
      </c>
      <c r="E292" s="2">
        <v>2023</v>
      </c>
      <c r="F292" s="2" t="s">
        <v>256</v>
      </c>
      <c r="G292" s="2" t="s">
        <v>3095</v>
      </c>
      <c r="H292" s="2" t="s">
        <v>3092</v>
      </c>
      <c r="I292" s="1" t="s">
        <v>14</v>
      </c>
      <c r="J292" s="1" t="s">
        <v>4642</v>
      </c>
      <c r="K292" s="17"/>
      <c r="L292" s="54">
        <v>0.3775</v>
      </c>
      <c r="M292" s="39"/>
      <c r="N292" s="39"/>
      <c r="O292" s="39"/>
      <c r="P292" s="39"/>
      <c r="Q292" s="39"/>
      <c r="R292" s="39"/>
      <c r="S292" s="39">
        <v>69.08</v>
      </c>
      <c r="T292" s="39"/>
      <c r="U292" s="39"/>
      <c r="V292" s="39"/>
      <c r="W292" s="92"/>
    </row>
    <row r="293" spans="1:24" s="79" customFormat="1" ht="51" x14ac:dyDescent="0.2">
      <c r="A293" s="1" t="s">
        <v>89</v>
      </c>
      <c r="B293" s="2" t="s">
        <v>16</v>
      </c>
      <c r="C293" s="2" t="s">
        <v>90</v>
      </c>
      <c r="D293" s="2" t="s">
        <v>91</v>
      </c>
      <c r="E293" s="2">
        <v>2023</v>
      </c>
      <c r="F293" s="2" t="s">
        <v>276</v>
      </c>
      <c r="G293" s="2" t="s">
        <v>3095</v>
      </c>
      <c r="H293" s="2" t="s">
        <v>3092</v>
      </c>
      <c r="I293" s="1" t="s">
        <v>14</v>
      </c>
      <c r="J293" s="1" t="s">
        <v>4643</v>
      </c>
      <c r="K293" s="17"/>
      <c r="L293" s="54">
        <v>0.3911</v>
      </c>
      <c r="M293" s="39"/>
      <c r="N293" s="39"/>
      <c r="O293" s="39"/>
      <c r="P293" s="39"/>
      <c r="Q293" s="39"/>
      <c r="R293" s="39"/>
      <c r="S293" s="39">
        <v>69.58</v>
      </c>
      <c r="T293" s="39"/>
      <c r="U293" s="39"/>
      <c r="V293" s="39"/>
      <c r="W293" s="92"/>
    </row>
    <row r="294" spans="1:24" s="79" customFormat="1" ht="51" x14ac:dyDescent="0.2">
      <c r="A294" s="1" t="s">
        <v>89</v>
      </c>
      <c r="B294" s="2" t="s">
        <v>16</v>
      </c>
      <c r="C294" s="2" t="s">
        <v>90</v>
      </c>
      <c r="D294" s="2" t="s">
        <v>91</v>
      </c>
      <c r="E294" s="2">
        <v>2023</v>
      </c>
      <c r="F294" s="2" t="s">
        <v>291</v>
      </c>
      <c r="G294" s="2" t="s">
        <v>3095</v>
      </c>
      <c r="H294" s="2" t="s">
        <v>3092</v>
      </c>
      <c r="I294" s="1" t="s">
        <v>14</v>
      </c>
      <c r="J294" s="1" t="s">
        <v>4644</v>
      </c>
      <c r="K294" s="17"/>
      <c r="L294" s="54">
        <v>0.39910000000000001</v>
      </c>
      <c r="M294" s="39"/>
      <c r="N294" s="39"/>
      <c r="O294" s="39"/>
      <c r="P294" s="39"/>
      <c r="Q294" s="39"/>
      <c r="R294" s="39"/>
      <c r="S294" s="39">
        <v>81.14</v>
      </c>
      <c r="T294" s="39"/>
      <c r="U294" s="39"/>
      <c r="V294" s="39"/>
      <c r="W294" s="92"/>
    </row>
    <row r="295" spans="1:24" s="79" customFormat="1" ht="51" x14ac:dyDescent="0.2">
      <c r="A295" s="1" t="s">
        <v>89</v>
      </c>
      <c r="B295" s="2" t="s">
        <v>16</v>
      </c>
      <c r="C295" s="2" t="s">
        <v>90</v>
      </c>
      <c r="D295" s="2" t="s">
        <v>91</v>
      </c>
      <c r="E295" s="2">
        <v>2023</v>
      </c>
      <c r="F295" s="2" t="s">
        <v>311</v>
      </c>
      <c r="G295" s="2" t="s">
        <v>3095</v>
      </c>
      <c r="H295" s="2" t="s">
        <v>3092</v>
      </c>
      <c r="I295" s="1" t="s">
        <v>14</v>
      </c>
      <c r="J295" s="1" t="s">
        <v>4645</v>
      </c>
      <c r="K295" s="17"/>
      <c r="L295" s="54">
        <v>0.36770000000000003</v>
      </c>
      <c r="M295" s="39"/>
      <c r="N295" s="39"/>
      <c r="O295" s="39"/>
      <c r="P295" s="39"/>
      <c r="Q295" s="39"/>
      <c r="R295" s="39"/>
      <c r="S295" s="39">
        <v>62.83</v>
      </c>
      <c r="T295" s="39"/>
      <c r="U295" s="39"/>
      <c r="V295" s="39"/>
      <c r="W295" s="92"/>
    </row>
    <row r="296" spans="1:24" s="79" customFormat="1" ht="51" x14ac:dyDescent="0.2">
      <c r="A296" s="1" t="s">
        <v>89</v>
      </c>
      <c r="B296" s="2" t="s">
        <v>16</v>
      </c>
      <c r="C296" s="2" t="s">
        <v>90</v>
      </c>
      <c r="D296" s="2" t="s">
        <v>91</v>
      </c>
      <c r="E296" s="2">
        <v>2023</v>
      </c>
      <c r="F296" s="2" t="s">
        <v>337</v>
      </c>
      <c r="G296" s="2" t="s">
        <v>3095</v>
      </c>
      <c r="H296" s="2" t="s">
        <v>3092</v>
      </c>
      <c r="I296" s="1" t="s">
        <v>14</v>
      </c>
      <c r="J296" s="1" t="s">
        <v>4646</v>
      </c>
      <c r="K296" s="17"/>
      <c r="L296" s="54">
        <v>0.33</v>
      </c>
      <c r="M296" s="39"/>
      <c r="N296" s="39"/>
      <c r="O296" s="39"/>
      <c r="P296" s="39"/>
      <c r="Q296" s="39"/>
      <c r="R296" s="39"/>
      <c r="S296" s="39">
        <v>65.73</v>
      </c>
      <c r="T296" s="39"/>
      <c r="U296" s="39"/>
      <c r="V296" s="39"/>
      <c r="W296" s="92"/>
    </row>
    <row r="297" spans="1:24" s="79" customFormat="1" ht="38.25" x14ac:dyDescent="0.2">
      <c r="A297" s="1" t="s">
        <v>89</v>
      </c>
      <c r="B297" s="2" t="s">
        <v>16</v>
      </c>
      <c r="C297" s="2" t="s">
        <v>90</v>
      </c>
      <c r="D297" s="2" t="s">
        <v>91</v>
      </c>
      <c r="E297" s="2">
        <v>2023</v>
      </c>
      <c r="F297" s="2" t="s">
        <v>364</v>
      </c>
      <c r="G297" s="2" t="s">
        <v>3095</v>
      </c>
      <c r="H297" s="2" t="s">
        <v>3092</v>
      </c>
      <c r="I297" s="1" t="s">
        <v>14</v>
      </c>
      <c r="J297" s="1" t="s">
        <v>4647</v>
      </c>
      <c r="K297" s="17"/>
      <c r="L297" s="54">
        <v>0.32369999999999999</v>
      </c>
      <c r="M297" s="39"/>
      <c r="N297" s="39"/>
      <c r="O297" s="39"/>
      <c r="P297" s="39"/>
      <c r="Q297" s="39"/>
      <c r="R297" s="39"/>
      <c r="S297" s="39">
        <v>52.68</v>
      </c>
      <c r="T297" s="39"/>
      <c r="U297" s="39"/>
      <c r="V297" s="39"/>
      <c r="W297" s="92"/>
    </row>
    <row r="298" spans="1:24" s="79" customFormat="1" ht="51" x14ac:dyDescent="0.2">
      <c r="A298" s="1" t="s">
        <v>89</v>
      </c>
      <c r="B298" s="2" t="s">
        <v>16</v>
      </c>
      <c r="C298" s="2" t="s">
        <v>90</v>
      </c>
      <c r="D298" s="2" t="s">
        <v>91</v>
      </c>
      <c r="E298" s="2">
        <v>2023</v>
      </c>
      <c r="F298" s="2" t="s">
        <v>388</v>
      </c>
      <c r="G298" s="2" t="s">
        <v>3095</v>
      </c>
      <c r="H298" s="2" t="s">
        <v>3092</v>
      </c>
      <c r="I298" s="1" t="s">
        <v>14</v>
      </c>
      <c r="J298" s="1" t="s">
        <v>4648</v>
      </c>
      <c r="K298" s="17"/>
      <c r="L298" s="53">
        <v>0.3372</v>
      </c>
      <c r="M298" s="59"/>
      <c r="N298" s="59"/>
      <c r="O298" s="59"/>
      <c r="P298" s="59"/>
      <c r="Q298" s="59"/>
      <c r="R298" s="59"/>
      <c r="S298" s="39">
        <v>92.21</v>
      </c>
      <c r="T298" s="59"/>
      <c r="U298" s="59"/>
      <c r="V298" s="59"/>
      <c r="W298" s="93"/>
      <c r="X298"/>
    </row>
    <row r="299" spans="1:24" s="79" customFormat="1" ht="51" x14ac:dyDescent="0.2">
      <c r="A299" s="1" t="s">
        <v>2168</v>
      </c>
      <c r="B299" s="2" t="s">
        <v>383</v>
      </c>
      <c r="C299" s="2" t="s">
        <v>352</v>
      </c>
      <c r="D299" s="2" t="s">
        <v>58</v>
      </c>
      <c r="E299" s="2">
        <v>2023</v>
      </c>
      <c r="F299" s="2" t="s">
        <v>211</v>
      </c>
      <c r="G299" s="2" t="s">
        <v>3092</v>
      </c>
      <c r="H299" s="2" t="s">
        <v>3092</v>
      </c>
      <c r="I299" s="1" t="s">
        <v>4649</v>
      </c>
      <c r="J299" s="1" t="s">
        <v>4650</v>
      </c>
      <c r="K299" s="17"/>
      <c r="L299" s="54"/>
      <c r="M299" s="39"/>
      <c r="N299" s="39"/>
      <c r="O299" s="39"/>
      <c r="P299" s="39"/>
      <c r="Q299" s="39"/>
      <c r="R299" s="39"/>
      <c r="S299" s="39"/>
      <c r="T299" s="39"/>
      <c r="U299" s="39"/>
      <c r="V299" s="39"/>
      <c r="W299" s="92" t="s">
        <v>1693</v>
      </c>
    </row>
    <row r="300" spans="1:24" s="79" customFormat="1" ht="38.25" x14ac:dyDescent="0.2">
      <c r="A300" s="1" t="s">
        <v>2168</v>
      </c>
      <c r="B300" s="2" t="s">
        <v>383</v>
      </c>
      <c r="C300" s="2" t="s">
        <v>352</v>
      </c>
      <c r="D300" s="2" t="s">
        <v>58</v>
      </c>
      <c r="E300" s="2">
        <v>2023</v>
      </c>
      <c r="F300" s="2" t="s">
        <v>221</v>
      </c>
      <c r="G300" s="2" t="s">
        <v>3092</v>
      </c>
      <c r="H300" s="2" t="s">
        <v>3093</v>
      </c>
      <c r="I300" s="1" t="s">
        <v>4651</v>
      </c>
      <c r="J300" s="1" t="s">
        <v>14</v>
      </c>
      <c r="K300" s="17"/>
      <c r="L300" s="54"/>
      <c r="M300" s="39"/>
      <c r="N300" s="39"/>
      <c r="O300" s="39"/>
      <c r="P300" s="39"/>
      <c r="Q300" s="39"/>
      <c r="R300" s="39"/>
      <c r="S300" s="39"/>
      <c r="T300" s="39"/>
      <c r="U300" s="39"/>
      <c r="V300" s="39"/>
      <c r="W300" s="92" t="s">
        <v>1683</v>
      </c>
    </row>
    <row r="301" spans="1:24" s="79" customFormat="1" ht="25.5" x14ac:dyDescent="0.2">
      <c r="A301" s="1" t="s">
        <v>2168</v>
      </c>
      <c r="B301" s="2" t="s">
        <v>383</v>
      </c>
      <c r="C301" s="2" t="s">
        <v>352</v>
      </c>
      <c r="D301" s="2" t="s">
        <v>58</v>
      </c>
      <c r="E301" s="2">
        <v>2023</v>
      </c>
      <c r="F301" s="2" t="s">
        <v>256</v>
      </c>
      <c r="G301" s="2" t="s">
        <v>3092</v>
      </c>
      <c r="H301" s="2" t="s">
        <v>3092</v>
      </c>
      <c r="I301" s="1" t="s">
        <v>4652</v>
      </c>
      <c r="J301" s="1" t="s">
        <v>4652</v>
      </c>
      <c r="K301" s="17"/>
      <c r="L301" s="54"/>
      <c r="M301" s="39"/>
      <c r="N301" s="39"/>
      <c r="O301" s="39"/>
      <c r="P301" s="39"/>
      <c r="Q301" s="39"/>
      <c r="R301" s="39"/>
      <c r="S301" s="39"/>
      <c r="T301" s="39"/>
      <c r="U301" s="39"/>
      <c r="V301" s="39"/>
      <c r="W301" s="92"/>
    </row>
    <row r="302" spans="1:24" s="79" customFormat="1" ht="25.5" x14ac:dyDescent="0.2">
      <c r="A302" s="1" t="s">
        <v>2168</v>
      </c>
      <c r="B302" s="2" t="s">
        <v>383</v>
      </c>
      <c r="C302" s="2" t="s">
        <v>352</v>
      </c>
      <c r="D302" s="2" t="s">
        <v>58</v>
      </c>
      <c r="E302" s="2">
        <v>2023</v>
      </c>
      <c r="F302" s="2" t="s">
        <v>276</v>
      </c>
      <c r="G302" s="2" t="s">
        <v>3092</v>
      </c>
      <c r="H302" s="2" t="s">
        <v>3092</v>
      </c>
      <c r="I302" s="1" t="s">
        <v>4653</v>
      </c>
      <c r="J302" s="1" t="s">
        <v>4653</v>
      </c>
      <c r="K302" s="17"/>
      <c r="L302" s="54"/>
      <c r="M302" s="39"/>
      <c r="N302" s="39"/>
      <c r="O302" s="39"/>
      <c r="P302" s="39"/>
      <c r="Q302" s="39"/>
      <c r="R302" s="39"/>
      <c r="S302" s="39"/>
      <c r="T302" s="39"/>
      <c r="U302" s="39"/>
      <c r="V302" s="39"/>
      <c r="W302" s="92"/>
    </row>
    <row r="303" spans="1:24" s="79" customFormat="1" ht="127.5" x14ac:dyDescent="0.2">
      <c r="A303" s="1" t="s">
        <v>2168</v>
      </c>
      <c r="B303" s="2" t="s">
        <v>383</v>
      </c>
      <c r="C303" s="2" t="s">
        <v>352</v>
      </c>
      <c r="D303" s="2" t="s">
        <v>58</v>
      </c>
      <c r="E303" s="2">
        <v>2023</v>
      </c>
      <c r="F303" s="2" t="s">
        <v>291</v>
      </c>
      <c r="G303" s="2" t="s">
        <v>3092</v>
      </c>
      <c r="H303" s="2" t="s">
        <v>3092</v>
      </c>
      <c r="I303" s="1" t="s">
        <v>4654</v>
      </c>
      <c r="J303" s="1" t="s">
        <v>4655</v>
      </c>
      <c r="K303" s="17"/>
      <c r="L303" s="54">
        <v>0.22</v>
      </c>
      <c r="M303" s="39"/>
      <c r="N303" s="39"/>
      <c r="O303" s="39">
        <f>1227.21/L303</f>
        <v>5578.227272727273</v>
      </c>
      <c r="P303" s="39"/>
      <c r="Q303" s="39"/>
      <c r="R303" s="39"/>
      <c r="S303" s="39"/>
      <c r="T303" s="39"/>
      <c r="U303" s="39"/>
      <c r="V303" s="39"/>
      <c r="W303" s="92" t="s">
        <v>2143</v>
      </c>
    </row>
    <row r="304" spans="1:24" s="79" customFormat="1" ht="63.75" x14ac:dyDescent="0.2">
      <c r="A304" s="1" t="s">
        <v>4656</v>
      </c>
      <c r="B304" s="2" t="s">
        <v>196</v>
      </c>
      <c r="C304" s="2" t="s">
        <v>4657</v>
      </c>
      <c r="D304" s="2" t="s">
        <v>3594</v>
      </c>
      <c r="E304" s="2">
        <v>2023</v>
      </c>
      <c r="F304" s="2" t="s">
        <v>311</v>
      </c>
      <c r="G304" s="2" t="s">
        <v>3092</v>
      </c>
      <c r="H304" s="2" t="s">
        <v>3092</v>
      </c>
      <c r="I304" s="1" t="s">
        <v>4658</v>
      </c>
      <c r="J304" s="1" t="s">
        <v>4659</v>
      </c>
      <c r="K304" s="17"/>
      <c r="L304" s="54"/>
      <c r="M304" s="39"/>
      <c r="N304" s="39"/>
      <c r="O304" s="39"/>
      <c r="P304" s="39"/>
      <c r="Q304" s="39"/>
      <c r="R304" s="39"/>
      <c r="S304" s="39"/>
      <c r="T304" s="39"/>
      <c r="U304" s="39"/>
      <c r="V304" s="39"/>
      <c r="W304" s="92" t="s">
        <v>1695</v>
      </c>
    </row>
    <row r="305" spans="1:23" s="79" customFormat="1" ht="38.25" x14ac:dyDescent="0.2">
      <c r="A305" s="1" t="s">
        <v>4660</v>
      </c>
      <c r="B305" s="2" t="s">
        <v>213</v>
      </c>
      <c r="C305" s="2" t="s">
        <v>4661</v>
      </c>
      <c r="D305" s="2" t="s">
        <v>268</v>
      </c>
      <c r="E305" s="2">
        <v>2023</v>
      </c>
      <c r="F305" s="2" t="s">
        <v>203</v>
      </c>
      <c r="G305" s="2" t="s">
        <v>3095</v>
      </c>
      <c r="H305" s="2" t="s">
        <v>3092</v>
      </c>
      <c r="I305" s="1" t="s">
        <v>14</v>
      </c>
      <c r="J305" s="1" t="s">
        <v>4662</v>
      </c>
      <c r="K305" s="17"/>
      <c r="L305" s="54"/>
      <c r="M305" s="39"/>
      <c r="N305" s="39"/>
      <c r="O305" s="39"/>
      <c r="P305" s="39"/>
      <c r="Q305" s="39"/>
      <c r="R305" s="39"/>
      <c r="S305" s="39"/>
      <c r="T305" s="39"/>
      <c r="U305" s="39"/>
      <c r="V305" s="39"/>
      <c r="W305" s="92" t="s">
        <v>4663</v>
      </c>
    </row>
    <row r="306" spans="1:23" s="79" customFormat="1" ht="38.25" x14ac:dyDescent="0.2">
      <c r="A306" s="1" t="s">
        <v>4664</v>
      </c>
      <c r="B306" s="2" t="s">
        <v>69</v>
      </c>
      <c r="C306" s="2" t="s">
        <v>4661</v>
      </c>
      <c r="D306" s="2" t="s">
        <v>268</v>
      </c>
      <c r="E306" s="2">
        <v>2023</v>
      </c>
      <c r="F306" s="2" t="s">
        <v>337</v>
      </c>
      <c r="G306" s="2" t="s">
        <v>3092</v>
      </c>
      <c r="H306" s="2" t="s">
        <v>3092</v>
      </c>
      <c r="I306" s="1" t="s">
        <v>4665</v>
      </c>
      <c r="J306" s="1" t="s">
        <v>4666</v>
      </c>
      <c r="K306" s="17"/>
      <c r="L306" s="54"/>
      <c r="M306" s="39"/>
      <c r="N306" s="39"/>
      <c r="O306" s="39"/>
      <c r="P306" s="39"/>
      <c r="Q306" s="39"/>
      <c r="R306" s="39"/>
      <c r="S306" s="39"/>
      <c r="T306" s="39"/>
      <c r="U306" s="39"/>
      <c r="V306" s="39"/>
      <c r="W306" s="92" t="s">
        <v>4663</v>
      </c>
    </row>
    <row r="307" spans="1:23" s="79" customFormat="1" ht="38.25" x14ac:dyDescent="0.2">
      <c r="A307" s="1" t="s">
        <v>4667</v>
      </c>
      <c r="B307" s="2" t="s">
        <v>196</v>
      </c>
      <c r="C307" s="2" t="s">
        <v>4668</v>
      </c>
      <c r="D307" s="2" t="s">
        <v>328</v>
      </c>
      <c r="E307" s="2">
        <v>2023</v>
      </c>
      <c r="F307" s="2" t="s">
        <v>291</v>
      </c>
      <c r="G307" s="2" t="s">
        <v>3092</v>
      </c>
      <c r="H307" s="2" t="s">
        <v>3093</v>
      </c>
      <c r="I307" s="1" t="s">
        <v>4669</v>
      </c>
      <c r="J307" s="1" t="s">
        <v>14</v>
      </c>
      <c r="K307" s="17"/>
      <c r="L307" s="54"/>
      <c r="M307" s="39"/>
      <c r="N307" s="39"/>
      <c r="O307" s="39"/>
      <c r="P307" s="39"/>
      <c r="Q307" s="39"/>
      <c r="R307" s="39"/>
      <c r="S307" s="39"/>
      <c r="T307" s="39"/>
      <c r="U307" s="39"/>
      <c r="V307" s="3"/>
      <c r="W307" s="92" t="s">
        <v>1693</v>
      </c>
    </row>
    <row r="308" spans="1:23" s="79" customFormat="1" ht="25.5" x14ac:dyDescent="0.2">
      <c r="A308" s="1" t="s">
        <v>4670</v>
      </c>
      <c r="B308" s="2" t="s">
        <v>196</v>
      </c>
      <c r="C308" s="2" t="s">
        <v>2148</v>
      </c>
      <c r="D308" s="2" t="s">
        <v>328</v>
      </c>
      <c r="E308" s="2">
        <v>2023</v>
      </c>
      <c r="F308" s="2" t="s">
        <v>291</v>
      </c>
      <c r="G308" s="2" t="s">
        <v>3092</v>
      </c>
      <c r="H308" s="2" t="s">
        <v>3093</v>
      </c>
      <c r="I308" s="1" t="s">
        <v>4671</v>
      </c>
      <c r="J308" s="1" t="s">
        <v>14</v>
      </c>
      <c r="K308" s="17"/>
      <c r="L308" s="54"/>
      <c r="M308" s="39"/>
      <c r="N308" s="39"/>
      <c r="O308" s="39"/>
      <c r="P308" s="39"/>
      <c r="Q308" s="39"/>
      <c r="R308" s="39"/>
      <c r="S308" s="39"/>
      <c r="T308" s="39"/>
      <c r="U308" s="39"/>
      <c r="V308" s="3"/>
      <c r="W308" s="92" t="s">
        <v>1693</v>
      </c>
    </row>
    <row r="309" spans="1:23" s="79" customFormat="1" ht="38.25" x14ac:dyDescent="0.2">
      <c r="A309" s="1" t="s">
        <v>2186</v>
      </c>
      <c r="B309" s="2" t="s">
        <v>2187</v>
      </c>
      <c r="C309" s="2" t="s">
        <v>2188</v>
      </c>
      <c r="D309" s="2" t="s">
        <v>2171</v>
      </c>
      <c r="E309" s="2">
        <v>2023</v>
      </c>
      <c r="F309" s="2" t="s">
        <v>337</v>
      </c>
      <c r="G309" s="2" t="s">
        <v>3092</v>
      </c>
      <c r="H309" s="2" t="s">
        <v>3092</v>
      </c>
      <c r="I309" s="1" t="s">
        <v>4672</v>
      </c>
      <c r="J309" s="1" t="s">
        <v>2190</v>
      </c>
      <c r="K309" s="17"/>
      <c r="L309" s="54" t="s">
        <v>1670</v>
      </c>
      <c r="M309" s="39">
        <v>168</v>
      </c>
      <c r="N309" s="39"/>
      <c r="O309" s="39"/>
      <c r="P309" s="39"/>
      <c r="Q309" s="39"/>
      <c r="R309" s="39"/>
      <c r="S309" s="39"/>
      <c r="T309" s="39"/>
      <c r="U309" s="39"/>
      <c r="V309" s="39"/>
      <c r="W309" s="92" t="s">
        <v>1682</v>
      </c>
    </row>
    <row r="310" spans="1:23" s="79" customFormat="1" ht="51" x14ac:dyDescent="0.2">
      <c r="A310" s="1" t="s">
        <v>4673</v>
      </c>
      <c r="B310" s="2" t="s">
        <v>196</v>
      </c>
      <c r="C310" s="2" t="s">
        <v>3452</v>
      </c>
      <c r="D310" s="2" t="s">
        <v>367</v>
      </c>
      <c r="E310" s="2">
        <v>2023</v>
      </c>
      <c r="F310" s="2" t="s">
        <v>291</v>
      </c>
      <c r="G310" s="2" t="s">
        <v>3092</v>
      </c>
      <c r="H310" s="2" t="s">
        <v>3092</v>
      </c>
      <c r="I310" s="1" t="s">
        <v>4674</v>
      </c>
      <c r="J310" s="1" t="s">
        <v>4675</v>
      </c>
      <c r="K310" s="17"/>
      <c r="L310" s="54">
        <v>0.28000000000000003</v>
      </c>
      <c r="M310" s="39"/>
      <c r="N310" s="39"/>
      <c r="O310" s="39">
        <v>414</v>
      </c>
      <c r="P310" s="39"/>
      <c r="Q310" s="39"/>
      <c r="R310" s="39"/>
      <c r="S310" s="39"/>
      <c r="T310" s="39"/>
      <c r="U310" s="39"/>
      <c r="V310" s="39"/>
      <c r="W310" s="92"/>
    </row>
    <row r="311" spans="1:23" s="79" customFormat="1" ht="25.5" x14ac:dyDescent="0.2">
      <c r="A311" s="1" t="s">
        <v>142</v>
      </c>
      <c r="B311" s="2" t="s">
        <v>53</v>
      </c>
      <c r="C311" s="2" t="s">
        <v>143</v>
      </c>
      <c r="D311" s="2" t="s">
        <v>71</v>
      </c>
      <c r="E311" s="2">
        <v>2023</v>
      </c>
      <c r="F311" s="2" t="s">
        <v>13</v>
      </c>
      <c r="G311" s="2" t="s">
        <v>3095</v>
      </c>
      <c r="H311" s="2" t="s">
        <v>3092</v>
      </c>
      <c r="I311" s="1" t="s">
        <v>14</v>
      </c>
      <c r="J311" s="1" t="s">
        <v>4676</v>
      </c>
      <c r="K311" s="17"/>
      <c r="L311" s="53">
        <v>0.15840000000000001</v>
      </c>
      <c r="M311" s="39">
        <v>81.17</v>
      </c>
      <c r="N311" s="39"/>
      <c r="O311" s="39"/>
      <c r="P311" s="39"/>
      <c r="Q311" s="39"/>
      <c r="R311" s="39"/>
      <c r="S311" s="39"/>
      <c r="T311" s="39"/>
      <c r="U311" s="39"/>
      <c r="V311" s="39"/>
      <c r="W311" s="92"/>
    </row>
    <row r="312" spans="1:23" s="79" customFormat="1" ht="38.25" x14ac:dyDescent="0.2">
      <c r="A312" s="1" t="s">
        <v>142</v>
      </c>
      <c r="B312" s="2" t="s">
        <v>53</v>
      </c>
      <c r="C312" s="2" t="s">
        <v>143</v>
      </c>
      <c r="D312" s="2" t="s">
        <v>71</v>
      </c>
      <c r="E312" s="2">
        <v>2023</v>
      </c>
      <c r="F312" s="2" t="s">
        <v>188</v>
      </c>
      <c r="G312" s="2" t="s">
        <v>3095</v>
      </c>
      <c r="H312" s="2" t="s">
        <v>3092</v>
      </c>
      <c r="I312" s="1" t="s">
        <v>14</v>
      </c>
      <c r="J312" s="1" t="s">
        <v>4677</v>
      </c>
      <c r="K312" s="17"/>
      <c r="L312" s="54">
        <v>0.16189999999999999</v>
      </c>
      <c r="M312" s="39">
        <v>87.37</v>
      </c>
      <c r="N312" s="39"/>
      <c r="O312" s="39"/>
      <c r="P312" s="39"/>
      <c r="Q312" s="39"/>
      <c r="R312" s="39"/>
      <c r="S312" s="39"/>
      <c r="T312" s="39"/>
      <c r="U312" s="39"/>
      <c r="V312" s="39"/>
      <c r="W312" s="92"/>
    </row>
    <row r="313" spans="1:23" s="79" customFormat="1" ht="25.5" x14ac:dyDescent="0.2">
      <c r="A313" s="1" t="s">
        <v>142</v>
      </c>
      <c r="B313" s="2" t="s">
        <v>53</v>
      </c>
      <c r="C313" s="2" t="s">
        <v>143</v>
      </c>
      <c r="D313" s="2" t="s">
        <v>71</v>
      </c>
      <c r="E313" s="2">
        <v>2023</v>
      </c>
      <c r="F313" s="2" t="s">
        <v>203</v>
      </c>
      <c r="G313" s="2" t="s">
        <v>3095</v>
      </c>
      <c r="H313" s="2" t="s">
        <v>3092</v>
      </c>
      <c r="I313" s="1" t="s">
        <v>14</v>
      </c>
      <c r="J313" s="1" t="s">
        <v>4678</v>
      </c>
      <c r="K313" s="17"/>
      <c r="L313" s="54">
        <v>0.16850000000000001</v>
      </c>
      <c r="M313" s="39">
        <v>90.6</v>
      </c>
      <c r="N313" s="39"/>
      <c r="O313" s="39"/>
      <c r="P313" s="39"/>
      <c r="Q313" s="39"/>
      <c r="R313" s="39"/>
      <c r="S313" s="39"/>
      <c r="T313" s="39"/>
      <c r="U313" s="39"/>
      <c r="V313" s="39"/>
      <c r="W313" s="92"/>
    </row>
    <row r="314" spans="1:23" s="79" customFormat="1" ht="25.5" x14ac:dyDescent="0.2">
      <c r="A314" s="1" t="s">
        <v>142</v>
      </c>
      <c r="B314" s="2" t="s">
        <v>53</v>
      </c>
      <c r="C314" s="2" t="s">
        <v>143</v>
      </c>
      <c r="D314" s="2" t="s">
        <v>71</v>
      </c>
      <c r="E314" s="2">
        <v>2023</v>
      </c>
      <c r="F314" s="2" t="s">
        <v>211</v>
      </c>
      <c r="G314" s="2" t="s">
        <v>3095</v>
      </c>
      <c r="H314" s="2" t="s">
        <v>3092</v>
      </c>
      <c r="I314" s="1" t="s">
        <v>14</v>
      </c>
      <c r="J314" s="1" t="s">
        <v>4679</v>
      </c>
      <c r="K314" s="17"/>
      <c r="L314" s="54">
        <v>0.17249999999999999</v>
      </c>
      <c r="M314" s="3">
        <v>87.56</v>
      </c>
      <c r="N314" s="39"/>
      <c r="O314" s="39"/>
      <c r="P314" s="39"/>
      <c r="Q314" s="39"/>
      <c r="R314" s="39"/>
      <c r="S314" s="39"/>
      <c r="T314" s="39"/>
      <c r="U314" s="39"/>
      <c r="V314" s="39"/>
      <c r="W314" s="92"/>
    </row>
    <row r="315" spans="1:23" s="79" customFormat="1" ht="25.5" x14ac:dyDescent="0.2">
      <c r="A315" s="1" t="s">
        <v>142</v>
      </c>
      <c r="B315" s="2" t="s">
        <v>53</v>
      </c>
      <c r="C315" s="2" t="s">
        <v>143</v>
      </c>
      <c r="D315" s="2" t="s">
        <v>71</v>
      </c>
      <c r="E315" s="2">
        <v>2023</v>
      </c>
      <c r="F315" s="2" t="s">
        <v>221</v>
      </c>
      <c r="G315" s="2" t="s">
        <v>3095</v>
      </c>
      <c r="H315" s="2" t="s">
        <v>3092</v>
      </c>
      <c r="I315" s="1" t="s">
        <v>14</v>
      </c>
      <c r="J315" s="1" t="s">
        <v>4680</v>
      </c>
      <c r="K315" s="17"/>
      <c r="L315" s="54">
        <v>0.16539999999999999</v>
      </c>
      <c r="M315" s="39">
        <f>92.1/2</f>
        <v>46.05</v>
      </c>
      <c r="N315" s="39"/>
      <c r="O315" s="39">
        <f>92.1/2</f>
        <v>46.05</v>
      </c>
      <c r="P315" s="39"/>
      <c r="Q315" s="39"/>
      <c r="R315" s="39"/>
      <c r="S315" s="39"/>
      <c r="T315" s="39"/>
      <c r="U315" s="39"/>
      <c r="V315" s="39"/>
      <c r="W315" s="92" t="s">
        <v>1721</v>
      </c>
    </row>
    <row r="316" spans="1:23" s="79" customFormat="1" ht="25.5" x14ac:dyDescent="0.2">
      <c r="A316" s="1" t="s">
        <v>142</v>
      </c>
      <c r="B316" s="2" t="s">
        <v>53</v>
      </c>
      <c r="C316" s="2" t="s">
        <v>143</v>
      </c>
      <c r="D316" s="2" t="s">
        <v>71</v>
      </c>
      <c r="E316" s="2">
        <v>2023</v>
      </c>
      <c r="F316" s="2" t="s">
        <v>256</v>
      </c>
      <c r="G316" s="2" t="s">
        <v>3095</v>
      </c>
      <c r="H316" s="2" t="s">
        <v>3092</v>
      </c>
      <c r="I316" s="1" t="s">
        <v>14</v>
      </c>
      <c r="J316" s="1" t="s">
        <v>4681</v>
      </c>
      <c r="K316" s="17"/>
      <c r="L316" s="75">
        <v>0.15709999999999999</v>
      </c>
      <c r="M316" s="39"/>
      <c r="N316" s="39"/>
      <c r="O316" s="39">
        <v>89.64</v>
      </c>
      <c r="P316" s="39"/>
      <c r="Q316" s="39"/>
      <c r="R316" s="39"/>
      <c r="S316" s="39"/>
      <c r="T316" s="39"/>
      <c r="U316" s="39"/>
      <c r="V316" s="39"/>
      <c r="W316" s="92"/>
    </row>
    <row r="317" spans="1:23" s="79" customFormat="1" ht="25.5" x14ac:dyDescent="0.2">
      <c r="A317" s="1" t="s">
        <v>142</v>
      </c>
      <c r="B317" s="2" t="s">
        <v>53</v>
      </c>
      <c r="C317" s="2" t="s">
        <v>143</v>
      </c>
      <c r="D317" s="2" t="s">
        <v>71</v>
      </c>
      <c r="E317" s="2">
        <v>2023</v>
      </c>
      <c r="F317" s="2" t="s">
        <v>276</v>
      </c>
      <c r="G317" s="2" t="s">
        <v>3095</v>
      </c>
      <c r="H317" s="2" t="s">
        <v>3092</v>
      </c>
      <c r="I317" s="1" t="s">
        <v>14</v>
      </c>
      <c r="J317" s="1" t="s">
        <v>4682</v>
      </c>
      <c r="K317" s="17"/>
      <c r="L317" s="54">
        <v>0.1706</v>
      </c>
      <c r="M317" s="39"/>
      <c r="N317" s="39"/>
      <c r="O317" s="3">
        <v>79.150000000000006</v>
      </c>
      <c r="P317" s="39"/>
      <c r="Q317" s="39"/>
      <c r="R317" s="39"/>
      <c r="S317" s="39"/>
      <c r="T317" s="39"/>
      <c r="U317" s="39"/>
      <c r="V317" s="39"/>
      <c r="W317" s="92"/>
    </row>
    <row r="318" spans="1:23" s="79" customFormat="1" ht="25.5" x14ac:dyDescent="0.2">
      <c r="A318" s="1" t="s">
        <v>142</v>
      </c>
      <c r="B318" s="2" t="s">
        <v>53</v>
      </c>
      <c r="C318" s="2" t="s">
        <v>143</v>
      </c>
      <c r="D318" s="2" t="s">
        <v>71</v>
      </c>
      <c r="E318" s="2">
        <v>2023</v>
      </c>
      <c r="F318" s="2" t="s">
        <v>291</v>
      </c>
      <c r="G318" s="2" t="s">
        <v>3095</v>
      </c>
      <c r="H318" s="2" t="s">
        <v>3092</v>
      </c>
      <c r="I318" s="1" t="s">
        <v>14</v>
      </c>
      <c r="J318" s="1" t="s">
        <v>4683</v>
      </c>
      <c r="K318" s="17"/>
      <c r="L318" s="54">
        <v>0.1613</v>
      </c>
      <c r="M318" s="3"/>
      <c r="N318" s="39"/>
      <c r="O318" s="39">
        <v>104.02</v>
      </c>
      <c r="P318" s="39"/>
      <c r="Q318" s="39"/>
      <c r="R318" s="39"/>
      <c r="S318" s="39"/>
      <c r="T318" s="39"/>
      <c r="U318" s="39"/>
      <c r="V318" s="39"/>
      <c r="W318" s="92"/>
    </row>
    <row r="319" spans="1:23" s="79" customFormat="1" ht="38.25" x14ac:dyDescent="0.2">
      <c r="A319" s="1" t="s">
        <v>142</v>
      </c>
      <c r="B319" s="2" t="s">
        <v>53</v>
      </c>
      <c r="C319" s="2" t="s">
        <v>143</v>
      </c>
      <c r="D319" s="2" t="s">
        <v>71</v>
      </c>
      <c r="E319" s="2">
        <v>2023</v>
      </c>
      <c r="F319" s="2" t="s">
        <v>311</v>
      </c>
      <c r="G319" s="2" t="s">
        <v>3095</v>
      </c>
      <c r="H319" s="2" t="s">
        <v>3092</v>
      </c>
      <c r="I319" s="1" t="s">
        <v>14</v>
      </c>
      <c r="J319" s="1" t="s">
        <v>4684</v>
      </c>
      <c r="K319" s="17"/>
      <c r="L319" s="54">
        <v>0.15529999999999999</v>
      </c>
      <c r="M319" s="39">
        <f>100.2/2</f>
        <v>50.1</v>
      </c>
      <c r="N319" s="39"/>
      <c r="O319" s="39">
        <f>100.2/2</f>
        <v>50.1</v>
      </c>
      <c r="P319" s="39"/>
      <c r="Q319" s="39"/>
      <c r="R319" s="39"/>
      <c r="S319" s="39"/>
      <c r="T319" s="39"/>
      <c r="U319" s="39"/>
      <c r="V319" s="39"/>
      <c r="W319" s="92" t="s">
        <v>1721</v>
      </c>
    </row>
    <row r="320" spans="1:23" s="79" customFormat="1" ht="38.25" x14ac:dyDescent="0.2">
      <c r="A320" s="1" t="s">
        <v>142</v>
      </c>
      <c r="B320" s="2" t="s">
        <v>53</v>
      </c>
      <c r="C320" s="2" t="s">
        <v>143</v>
      </c>
      <c r="D320" s="2" t="s">
        <v>71</v>
      </c>
      <c r="E320" s="2">
        <v>2023</v>
      </c>
      <c r="F320" s="2" t="s">
        <v>337</v>
      </c>
      <c r="G320" s="2" t="s">
        <v>3095</v>
      </c>
      <c r="H320" s="2" t="s">
        <v>3092</v>
      </c>
      <c r="I320" s="1" t="s">
        <v>14</v>
      </c>
      <c r="J320" s="1" t="s">
        <v>4685</v>
      </c>
      <c r="K320" s="17"/>
      <c r="L320" s="54">
        <v>0.15740000000000001</v>
      </c>
      <c r="M320" s="39">
        <f>99.7/2</f>
        <v>49.85</v>
      </c>
      <c r="N320" s="39"/>
      <c r="O320" s="39">
        <f>99.7/2</f>
        <v>49.85</v>
      </c>
      <c r="P320" s="39"/>
      <c r="Q320" s="39"/>
      <c r="R320" s="39"/>
      <c r="S320" s="3"/>
      <c r="T320" s="39"/>
      <c r="U320" s="39"/>
      <c r="V320" s="39"/>
      <c r="W320" s="92" t="s">
        <v>1721</v>
      </c>
    </row>
    <row r="321" spans="1:23" s="79" customFormat="1" ht="25.5" x14ac:dyDescent="0.2">
      <c r="A321" s="1" t="s">
        <v>142</v>
      </c>
      <c r="B321" s="2" t="s">
        <v>53</v>
      </c>
      <c r="C321" s="2" t="s">
        <v>143</v>
      </c>
      <c r="D321" s="2" t="s">
        <v>71</v>
      </c>
      <c r="E321" s="2">
        <v>2023</v>
      </c>
      <c r="F321" s="2" t="s">
        <v>364</v>
      </c>
      <c r="G321" s="2" t="s">
        <v>3095</v>
      </c>
      <c r="H321" s="2" t="s">
        <v>3092</v>
      </c>
      <c r="I321" s="1" t="s">
        <v>14</v>
      </c>
      <c r="J321" s="1" t="s">
        <v>4686</v>
      </c>
      <c r="K321" s="17"/>
      <c r="L321" s="54">
        <v>0.16</v>
      </c>
      <c r="M321" s="39">
        <v>86</v>
      </c>
      <c r="N321" s="39"/>
      <c r="O321" s="39"/>
      <c r="P321" s="39"/>
      <c r="Q321" s="39"/>
      <c r="R321" s="39"/>
      <c r="S321" s="39"/>
      <c r="T321" s="39"/>
      <c r="U321" s="39"/>
      <c r="V321" s="39"/>
      <c r="W321" s="92"/>
    </row>
    <row r="322" spans="1:23" s="79" customFormat="1" ht="38.25" x14ac:dyDescent="0.2">
      <c r="A322" s="1" t="s">
        <v>142</v>
      </c>
      <c r="B322" s="2" t="s">
        <v>53</v>
      </c>
      <c r="C322" s="2" t="s">
        <v>143</v>
      </c>
      <c r="D322" s="2" t="s">
        <v>71</v>
      </c>
      <c r="E322" s="2">
        <v>2023</v>
      </c>
      <c r="F322" s="2" t="s">
        <v>388</v>
      </c>
      <c r="G322" s="2" t="s">
        <v>3095</v>
      </c>
      <c r="H322" s="2" t="s">
        <v>3092</v>
      </c>
      <c r="I322" s="1" t="s">
        <v>14</v>
      </c>
      <c r="J322" s="1" t="s">
        <v>4687</v>
      </c>
      <c r="K322" s="17"/>
      <c r="L322" s="54">
        <v>0.16289999999999999</v>
      </c>
      <c r="M322" s="39">
        <v>77</v>
      </c>
      <c r="N322" s="39"/>
      <c r="O322" s="39"/>
      <c r="P322" s="39"/>
      <c r="Q322" s="39"/>
      <c r="R322" s="39"/>
      <c r="S322" s="39"/>
      <c r="T322" s="39"/>
      <c r="U322" s="39"/>
      <c r="V322" s="39"/>
      <c r="W322" s="92"/>
    </row>
    <row r="323" spans="1:23" s="79" customFormat="1" ht="38.25" x14ac:dyDescent="0.2">
      <c r="A323" s="1" t="s">
        <v>3467</v>
      </c>
      <c r="B323" s="2" t="s">
        <v>301</v>
      </c>
      <c r="C323" s="2" t="s">
        <v>3468</v>
      </c>
      <c r="D323" s="2" t="s">
        <v>108</v>
      </c>
      <c r="E323" s="2">
        <v>2023</v>
      </c>
      <c r="F323" s="2" t="s">
        <v>364</v>
      </c>
      <c r="G323" s="2" t="s">
        <v>3092</v>
      </c>
      <c r="H323" s="2" t="s">
        <v>3093</v>
      </c>
      <c r="I323" s="1" t="s">
        <v>4688</v>
      </c>
      <c r="J323" s="1" t="s">
        <v>14</v>
      </c>
      <c r="K323" s="17"/>
      <c r="L323" s="54"/>
      <c r="M323" s="39"/>
      <c r="N323" s="39"/>
      <c r="O323" s="39"/>
      <c r="P323" s="39"/>
      <c r="Q323" s="39"/>
      <c r="R323" s="39"/>
      <c r="S323" s="39"/>
      <c r="T323" s="39"/>
      <c r="U323" s="39"/>
      <c r="V323" s="39"/>
      <c r="W323" s="92" t="s">
        <v>1683</v>
      </c>
    </row>
    <row r="324" spans="1:23" s="79" customFormat="1" ht="25.5" x14ac:dyDescent="0.2">
      <c r="A324" s="1" t="s">
        <v>447</v>
      </c>
      <c r="B324" s="2" t="s">
        <v>10</v>
      </c>
      <c r="C324" s="2" t="s">
        <v>448</v>
      </c>
      <c r="D324" s="2" t="s">
        <v>12</v>
      </c>
      <c r="E324" s="2">
        <v>2023</v>
      </c>
      <c r="F324" s="2" t="s">
        <v>13</v>
      </c>
      <c r="G324" s="2" t="s">
        <v>3095</v>
      </c>
      <c r="H324" s="2" t="s">
        <v>3092</v>
      </c>
      <c r="I324" s="1" t="s">
        <v>14</v>
      </c>
      <c r="J324" s="1" t="s">
        <v>4689</v>
      </c>
      <c r="K324" s="17"/>
      <c r="L324" s="53"/>
      <c r="M324" s="39"/>
      <c r="N324" s="39"/>
      <c r="O324" s="39"/>
      <c r="P324" s="39"/>
      <c r="Q324" s="39"/>
      <c r="R324" s="39"/>
      <c r="S324" s="39"/>
      <c r="T324" s="39"/>
      <c r="U324" s="39"/>
      <c r="V324" s="39"/>
      <c r="W324" s="92" t="s">
        <v>1735</v>
      </c>
    </row>
    <row r="325" spans="1:23" s="79" customFormat="1" ht="25.5" x14ac:dyDescent="0.2">
      <c r="A325" s="1" t="s">
        <v>447</v>
      </c>
      <c r="B325" s="2" t="s">
        <v>10</v>
      </c>
      <c r="C325" s="2" t="s">
        <v>448</v>
      </c>
      <c r="D325" s="2" t="s">
        <v>12</v>
      </c>
      <c r="E325" s="2">
        <v>2023</v>
      </c>
      <c r="F325" s="2" t="s">
        <v>188</v>
      </c>
      <c r="G325" s="2" t="s">
        <v>3095</v>
      </c>
      <c r="H325" s="2" t="s">
        <v>3092</v>
      </c>
      <c r="I325" s="1" t="s">
        <v>14</v>
      </c>
      <c r="J325" s="1" t="s">
        <v>4690</v>
      </c>
      <c r="K325" s="17"/>
      <c r="L325" s="54"/>
      <c r="M325" s="39"/>
      <c r="N325" s="39"/>
      <c r="O325" s="39"/>
      <c r="P325" s="39"/>
      <c r="Q325" s="39"/>
      <c r="R325" s="39"/>
      <c r="S325" s="39"/>
      <c r="T325" s="39"/>
      <c r="U325" s="39"/>
      <c r="V325" s="39"/>
      <c r="W325" s="92" t="s">
        <v>1735</v>
      </c>
    </row>
    <row r="326" spans="1:23" s="79" customFormat="1" ht="25.5" x14ac:dyDescent="0.2">
      <c r="A326" s="1" t="s">
        <v>447</v>
      </c>
      <c r="B326" s="2" t="s">
        <v>10</v>
      </c>
      <c r="C326" s="2" t="s">
        <v>448</v>
      </c>
      <c r="D326" s="2" t="s">
        <v>12</v>
      </c>
      <c r="E326" s="2">
        <v>2023</v>
      </c>
      <c r="F326" s="2" t="s">
        <v>203</v>
      </c>
      <c r="G326" s="2" t="s">
        <v>3095</v>
      </c>
      <c r="H326" s="2" t="s">
        <v>3092</v>
      </c>
      <c r="I326" s="1" t="s">
        <v>14</v>
      </c>
      <c r="J326" s="1" t="s">
        <v>4691</v>
      </c>
      <c r="K326" s="17"/>
      <c r="L326" s="54"/>
      <c r="M326" s="39"/>
      <c r="N326" s="39"/>
      <c r="O326" s="39"/>
      <c r="P326" s="39"/>
      <c r="Q326" s="39"/>
      <c r="R326" s="39"/>
      <c r="S326" s="39"/>
      <c r="T326" s="39"/>
      <c r="U326" s="39"/>
      <c r="V326" s="39"/>
      <c r="W326" s="92" t="s">
        <v>1735</v>
      </c>
    </row>
    <row r="327" spans="1:23" s="79" customFormat="1" ht="25.5" x14ac:dyDescent="0.2">
      <c r="A327" s="1" t="s">
        <v>447</v>
      </c>
      <c r="B327" s="2" t="s">
        <v>10</v>
      </c>
      <c r="C327" s="2" t="s">
        <v>448</v>
      </c>
      <c r="D327" s="2" t="s">
        <v>12</v>
      </c>
      <c r="E327" s="2">
        <v>2023</v>
      </c>
      <c r="F327" s="2" t="s">
        <v>211</v>
      </c>
      <c r="G327" s="2" t="s">
        <v>3095</v>
      </c>
      <c r="H327" s="2" t="s">
        <v>3092</v>
      </c>
      <c r="I327" s="1" t="s">
        <v>14</v>
      </c>
      <c r="J327" s="1" t="s">
        <v>4692</v>
      </c>
      <c r="K327" s="17"/>
      <c r="L327" s="54"/>
      <c r="M327" s="39"/>
      <c r="N327" s="39"/>
      <c r="O327" s="39"/>
      <c r="P327" s="39"/>
      <c r="Q327" s="39"/>
      <c r="R327" s="39"/>
      <c r="S327" s="39"/>
      <c r="T327" s="39"/>
      <c r="U327" s="39"/>
      <c r="V327" s="39"/>
      <c r="W327" s="92" t="s">
        <v>1735</v>
      </c>
    </row>
    <row r="328" spans="1:23" s="79" customFormat="1" ht="51" x14ac:dyDescent="0.2">
      <c r="A328" s="1" t="s">
        <v>447</v>
      </c>
      <c r="B328" s="2" t="s">
        <v>10</v>
      </c>
      <c r="C328" s="2" t="s">
        <v>448</v>
      </c>
      <c r="D328" s="2" t="s">
        <v>12</v>
      </c>
      <c r="E328" s="2">
        <v>2023</v>
      </c>
      <c r="F328" s="2" t="s">
        <v>221</v>
      </c>
      <c r="G328" s="2" t="s">
        <v>3095</v>
      </c>
      <c r="H328" s="2" t="s">
        <v>3092</v>
      </c>
      <c r="I328" s="1" t="s">
        <v>14</v>
      </c>
      <c r="J328" s="1" t="s">
        <v>4693</v>
      </c>
      <c r="K328" s="17"/>
      <c r="L328" s="54"/>
      <c r="M328" s="39"/>
      <c r="N328" s="39"/>
      <c r="O328" s="39"/>
      <c r="P328" s="39"/>
      <c r="Q328" s="39"/>
      <c r="R328" s="39"/>
      <c r="S328" s="39"/>
      <c r="T328" s="39"/>
      <c r="U328" s="39"/>
      <c r="V328" s="39"/>
      <c r="W328" s="92" t="s">
        <v>1735</v>
      </c>
    </row>
    <row r="329" spans="1:23" s="79" customFormat="1" ht="25.5" x14ac:dyDescent="0.2">
      <c r="A329" s="1" t="s">
        <v>447</v>
      </c>
      <c r="B329" s="2" t="s">
        <v>10</v>
      </c>
      <c r="C329" s="2" t="s">
        <v>448</v>
      </c>
      <c r="D329" s="2" t="s">
        <v>12</v>
      </c>
      <c r="E329" s="2">
        <v>2023</v>
      </c>
      <c r="F329" s="2" t="s">
        <v>256</v>
      </c>
      <c r="G329" s="2" t="s">
        <v>3095</v>
      </c>
      <c r="H329" s="2" t="s">
        <v>3092</v>
      </c>
      <c r="I329" s="1" t="s">
        <v>14</v>
      </c>
      <c r="J329" s="1" t="s">
        <v>4694</v>
      </c>
      <c r="K329" s="17"/>
      <c r="L329" s="54"/>
      <c r="M329" s="39"/>
      <c r="N329" s="39"/>
      <c r="O329" s="39"/>
      <c r="P329" s="39"/>
      <c r="Q329" s="39"/>
      <c r="R329" s="39"/>
      <c r="S329" s="39"/>
      <c r="T329" s="39"/>
      <c r="U329" s="39"/>
      <c r="V329" s="39"/>
      <c r="W329" s="92" t="s">
        <v>1735</v>
      </c>
    </row>
    <row r="330" spans="1:23" s="79" customFormat="1" ht="25.5" x14ac:dyDescent="0.2">
      <c r="A330" s="1" t="s">
        <v>447</v>
      </c>
      <c r="B330" s="2" t="s">
        <v>10</v>
      </c>
      <c r="C330" s="2" t="s">
        <v>448</v>
      </c>
      <c r="D330" s="2" t="s">
        <v>12</v>
      </c>
      <c r="E330" s="2">
        <v>2023</v>
      </c>
      <c r="F330" s="2" t="s">
        <v>276</v>
      </c>
      <c r="G330" s="2" t="s">
        <v>3095</v>
      </c>
      <c r="H330" s="2" t="s">
        <v>3092</v>
      </c>
      <c r="I330" s="1" t="s">
        <v>14</v>
      </c>
      <c r="J330" s="1" t="s">
        <v>4695</v>
      </c>
      <c r="K330" s="17"/>
      <c r="L330" s="54"/>
      <c r="M330" s="39"/>
      <c r="N330" s="39"/>
      <c r="O330" s="39"/>
      <c r="P330" s="39"/>
      <c r="Q330" s="39"/>
      <c r="R330" s="39"/>
      <c r="S330" s="39"/>
      <c r="T330" s="14"/>
      <c r="U330" s="39"/>
      <c r="V330" s="39"/>
      <c r="W330" s="92" t="s">
        <v>1735</v>
      </c>
    </row>
    <row r="331" spans="1:23" s="79" customFormat="1" ht="25.5" x14ac:dyDescent="0.2">
      <c r="A331" s="1" t="s">
        <v>447</v>
      </c>
      <c r="B331" s="2" t="s">
        <v>10</v>
      </c>
      <c r="C331" s="2" t="s">
        <v>448</v>
      </c>
      <c r="D331" s="2" t="s">
        <v>12</v>
      </c>
      <c r="E331" s="2">
        <v>2023</v>
      </c>
      <c r="F331" s="2" t="s">
        <v>291</v>
      </c>
      <c r="G331" s="2" t="s">
        <v>3095</v>
      </c>
      <c r="H331" s="2" t="s">
        <v>3092</v>
      </c>
      <c r="I331" s="1" t="s">
        <v>14</v>
      </c>
      <c r="J331" s="1" t="s">
        <v>4696</v>
      </c>
      <c r="K331" s="17"/>
      <c r="L331" s="54"/>
      <c r="M331" s="3"/>
      <c r="N331" s="39"/>
      <c r="O331" s="39"/>
      <c r="P331" s="39"/>
      <c r="Q331" s="39"/>
      <c r="R331" s="39"/>
      <c r="S331" s="39"/>
      <c r="T331" s="39"/>
      <c r="U331" s="39"/>
      <c r="V331" s="3"/>
      <c r="W331" s="92" t="s">
        <v>1735</v>
      </c>
    </row>
    <row r="332" spans="1:23" s="79" customFormat="1" ht="25.5" x14ac:dyDescent="0.2">
      <c r="A332" s="1" t="s">
        <v>447</v>
      </c>
      <c r="B332" s="2" t="s">
        <v>10</v>
      </c>
      <c r="C332" s="2" t="s">
        <v>448</v>
      </c>
      <c r="D332" s="2" t="s">
        <v>12</v>
      </c>
      <c r="E332" s="2">
        <v>2023</v>
      </c>
      <c r="F332" s="2" t="s">
        <v>311</v>
      </c>
      <c r="G332" s="2" t="s">
        <v>3095</v>
      </c>
      <c r="H332" s="2" t="s">
        <v>3092</v>
      </c>
      <c r="I332" s="1" t="s">
        <v>14</v>
      </c>
      <c r="J332" s="1" t="s">
        <v>4697</v>
      </c>
      <c r="K332" s="17"/>
      <c r="L332" s="54"/>
      <c r="M332" s="39"/>
      <c r="N332" s="39"/>
      <c r="O332" s="39"/>
      <c r="P332" s="39"/>
      <c r="Q332" s="39"/>
      <c r="R332" s="39"/>
      <c r="S332" s="39"/>
      <c r="T332" s="39"/>
      <c r="U332" s="39"/>
      <c r="V332" s="39"/>
      <c r="W332" s="92" t="s">
        <v>1735</v>
      </c>
    </row>
    <row r="333" spans="1:23" s="79" customFormat="1" ht="25.5" x14ac:dyDescent="0.2">
      <c r="A333" s="1" t="s">
        <v>447</v>
      </c>
      <c r="B333" s="2" t="s">
        <v>10</v>
      </c>
      <c r="C333" s="2" t="s">
        <v>448</v>
      </c>
      <c r="D333" s="2" t="s">
        <v>12</v>
      </c>
      <c r="E333" s="2">
        <v>2023</v>
      </c>
      <c r="F333" s="2" t="s">
        <v>337</v>
      </c>
      <c r="G333" s="2" t="s">
        <v>3095</v>
      </c>
      <c r="H333" s="2" t="s">
        <v>3092</v>
      </c>
      <c r="I333" s="1" t="s">
        <v>14</v>
      </c>
      <c r="J333" s="1" t="s">
        <v>4698</v>
      </c>
      <c r="K333" s="17"/>
      <c r="L333" s="54"/>
      <c r="M333" s="39"/>
      <c r="N333" s="39"/>
      <c r="O333" s="39"/>
      <c r="P333" s="39"/>
      <c r="Q333" s="39"/>
      <c r="R333" s="39"/>
      <c r="S333" s="3"/>
      <c r="T333" s="39"/>
      <c r="U333" s="39"/>
      <c r="V333" s="39"/>
      <c r="W333" s="92" t="s">
        <v>1735</v>
      </c>
    </row>
    <row r="334" spans="1:23" s="79" customFormat="1" ht="25.5" x14ac:dyDescent="0.2">
      <c r="A334" s="1" t="s">
        <v>447</v>
      </c>
      <c r="B334" s="2" t="s">
        <v>10</v>
      </c>
      <c r="C334" s="2" t="s">
        <v>448</v>
      </c>
      <c r="D334" s="2" t="s">
        <v>12</v>
      </c>
      <c r="E334" s="2">
        <v>2023</v>
      </c>
      <c r="F334" s="2" t="s">
        <v>364</v>
      </c>
      <c r="G334" s="2" t="s">
        <v>3095</v>
      </c>
      <c r="H334" s="2" t="s">
        <v>3092</v>
      </c>
      <c r="I334" s="1" t="s">
        <v>14</v>
      </c>
      <c r="J334" s="1" t="s">
        <v>4699</v>
      </c>
      <c r="K334" s="17"/>
      <c r="L334" s="54"/>
      <c r="M334" s="39"/>
      <c r="N334" s="39"/>
      <c r="O334" s="39"/>
      <c r="P334" s="39"/>
      <c r="Q334" s="39"/>
      <c r="R334" s="39"/>
      <c r="S334" s="39"/>
      <c r="T334" s="39"/>
      <c r="U334" s="39"/>
      <c r="V334" s="39"/>
      <c r="W334" s="92" t="s">
        <v>1735</v>
      </c>
    </row>
    <row r="335" spans="1:23" s="79" customFormat="1" ht="25.5" x14ac:dyDescent="0.2">
      <c r="A335" s="1" t="s">
        <v>447</v>
      </c>
      <c r="B335" s="2" t="s">
        <v>10</v>
      </c>
      <c r="C335" s="2" t="s">
        <v>448</v>
      </c>
      <c r="D335" s="2" t="s">
        <v>12</v>
      </c>
      <c r="E335" s="2">
        <v>2023</v>
      </c>
      <c r="F335" s="2" t="s">
        <v>388</v>
      </c>
      <c r="G335" s="2" t="s">
        <v>3095</v>
      </c>
      <c r="H335" s="2" t="s">
        <v>3092</v>
      </c>
      <c r="I335" s="1" t="s">
        <v>14</v>
      </c>
      <c r="J335" s="1" t="s">
        <v>4700</v>
      </c>
      <c r="K335" s="17"/>
      <c r="L335" s="54"/>
      <c r="M335" s="15"/>
      <c r="N335" s="15"/>
      <c r="O335" s="15"/>
      <c r="P335" s="15"/>
      <c r="Q335" s="15"/>
      <c r="R335" s="15"/>
      <c r="S335" s="15"/>
      <c r="T335" s="15"/>
      <c r="U335" s="15"/>
      <c r="V335" s="56"/>
      <c r="W335" s="92" t="s">
        <v>1735</v>
      </c>
    </row>
    <row r="336" spans="1:23" s="79" customFormat="1" ht="38.25" x14ac:dyDescent="0.2">
      <c r="A336" s="1" t="s">
        <v>405</v>
      </c>
      <c r="B336" s="2" t="s">
        <v>357</v>
      </c>
      <c r="C336" s="2" t="s">
        <v>406</v>
      </c>
      <c r="D336" s="2" t="s">
        <v>328</v>
      </c>
      <c r="E336" s="2">
        <v>2023</v>
      </c>
      <c r="F336" s="2" t="s">
        <v>256</v>
      </c>
      <c r="G336" s="2" t="s">
        <v>3092</v>
      </c>
      <c r="H336" s="2" t="s">
        <v>3092</v>
      </c>
      <c r="I336" s="1" t="s">
        <v>4701</v>
      </c>
      <c r="J336" s="1" t="s">
        <v>4702</v>
      </c>
      <c r="K336" s="17"/>
      <c r="L336" s="54" t="s">
        <v>1670</v>
      </c>
      <c r="M336" s="39"/>
      <c r="N336" s="39"/>
      <c r="O336" s="39"/>
      <c r="P336" s="39"/>
      <c r="Q336" s="39"/>
      <c r="R336" s="39"/>
      <c r="S336" s="39"/>
      <c r="T336" s="39"/>
      <c r="U336" s="39"/>
      <c r="V336" s="39">
        <f>34000/1000</f>
        <v>34</v>
      </c>
      <c r="W336" s="92" t="s">
        <v>4703</v>
      </c>
    </row>
    <row r="337" spans="1:23" s="79" customFormat="1" ht="25.5" x14ac:dyDescent="0.2">
      <c r="A337" s="1" t="s">
        <v>405</v>
      </c>
      <c r="B337" s="2" t="s">
        <v>357</v>
      </c>
      <c r="C337" s="2" t="s">
        <v>406</v>
      </c>
      <c r="D337" s="2" t="s">
        <v>328</v>
      </c>
      <c r="E337" s="2">
        <v>2023</v>
      </c>
      <c r="F337" s="2" t="s">
        <v>276</v>
      </c>
      <c r="G337" s="2" t="s">
        <v>3092</v>
      </c>
      <c r="H337" s="2" t="s">
        <v>3092</v>
      </c>
      <c r="I337" s="1" t="s">
        <v>4704</v>
      </c>
      <c r="J337" s="1" t="s">
        <v>4705</v>
      </c>
      <c r="K337" s="17"/>
      <c r="L337" s="54" t="s">
        <v>1670</v>
      </c>
      <c r="M337" s="39"/>
      <c r="N337" s="39"/>
      <c r="O337" s="39"/>
      <c r="P337" s="39"/>
      <c r="Q337" s="39"/>
      <c r="R337" s="39"/>
      <c r="S337" s="39"/>
      <c r="T337" s="39"/>
      <c r="U337" s="39"/>
      <c r="V337" s="39">
        <v>49.6</v>
      </c>
      <c r="W337" s="92" t="s">
        <v>1682</v>
      </c>
    </row>
    <row r="338" spans="1:23" s="79" customFormat="1" ht="25.5" x14ac:dyDescent="0.2">
      <c r="A338" s="1" t="s">
        <v>362</v>
      </c>
      <c r="B338" s="2" t="s">
        <v>277</v>
      </c>
      <c r="C338" s="2" t="s">
        <v>363</v>
      </c>
      <c r="D338" s="2" t="s">
        <v>333</v>
      </c>
      <c r="E338" s="2">
        <v>2023</v>
      </c>
      <c r="F338" s="2" t="s">
        <v>311</v>
      </c>
      <c r="G338" s="2" t="s">
        <v>3093</v>
      </c>
      <c r="H338" s="2" t="s">
        <v>3092</v>
      </c>
      <c r="I338" s="1" t="s">
        <v>4706</v>
      </c>
      <c r="J338" s="1" t="s">
        <v>4707</v>
      </c>
      <c r="K338" s="17"/>
      <c r="L338" s="54" t="s">
        <v>1670</v>
      </c>
      <c r="M338" s="39"/>
      <c r="N338" s="39"/>
      <c r="O338" s="39"/>
      <c r="P338" s="39"/>
      <c r="Q338" s="39"/>
      <c r="R338" s="39"/>
      <c r="S338" s="39"/>
      <c r="T338" s="39"/>
      <c r="U338" s="39"/>
      <c r="V338" s="39">
        <f>3000*0.004546</f>
        <v>13.638</v>
      </c>
      <c r="W338" s="92" t="s">
        <v>1701</v>
      </c>
    </row>
    <row r="339" spans="1:23" s="79" customFormat="1" ht="63.75" x14ac:dyDescent="0.2">
      <c r="A339" s="1" t="s">
        <v>22</v>
      </c>
      <c r="B339" s="2" t="s">
        <v>16</v>
      </c>
      <c r="C339" s="2" t="s">
        <v>20</v>
      </c>
      <c r="D339" s="2" t="s">
        <v>21</v>
      </c>
      <c r="E339" s="2">
        <v>2023</v>
      </c>
      <c r="F339" s="2" t="s">
        <v>13</v>
      </c>
      <c r="G339" s="2" t="s">
        <v>3095</v>
      </c>
      <c r="H339" s="2" t="s">
        <v>3092</v>
      </c>
      <c r="I339" s="1" t="s">
        <v>14</v>
      </c>
      <c r="J339" s="1" t="s">
        <v>4708</v>
      </c>
      <c r="K339" s="17"/>
      <c r="L339" s="53">
        <v>0.28999999999999998</v>
      </c>
      <c r="M339" s="39"/>
      <c r="N339" s="39"/>
      <c r="O339" s="39"/>
      <c r="P339" s="39"/>
      <c r="Q339" s="39"/>
      <c r="R339" s="39"/>
      <c r="S339" s="39">
        <v>418.8</v>
      </c>
      <c r="T339" s="39"/>
      <c r="U339" s="39"/>
      <c r="V339" s="39"/>
      <c r="W339" s="92"/>
    </row>
    <row r="340" spans="1:23" s="79" customFormat="1" ht="63.75" x14ac:dyDescent="0.2">
      <c r="A340" s="1" t="s">
        <v>22</v>
      </c>
      <c r="B340" s="2" t="s">
        <v>16</v>
      </c>
      <c r="C340" s="2" t="s">
        <v>20</v>
      </c>
      <c r="D340" s="2" t="s">
        <v>21</v>
      </c>
      <c r="E340" s="2">
        <v>2023</v>
      </c>
      <c r="F340" s="2" t="s">
        <v>188</v>
      </c>
      <c r="G340" s="2" t="s">
        <v>3095</v>
      </c>
      <c r="H340" s="2" t="s">
        <v>3092</v>
      </c>
      <c r="I340" s="1" t="s">
        <v>14</v>
      </c>
      <c r="J340" s="1" t="s">
        <v>4709</v>
      </c>
      <c r="K340" s="17"/>
      <c r="L340" s="54">
        <v>0.28299999999999997</v>
      </c>
      <c r="M340" s="39"/>
      <c r="N340" s="39"/>
      <c r="O340" s="39"/>
      <c r="P340" s="39"/>
      <c r="Q340" s="39"/>
      <c r="R340" s="39"/>
      <c r="S340" s="39">
        <v>421.5</v>
      </c>
      <c r="T340" s="39"/>
      <c r="U340" s="39"/>
      <c r="V340" s="39"/>
      <c r="W340" s="92"/>
    </row>
    <row r="341" spans="1:23" s="79" customFormat="1" ht="63.75" x14ac:dyDescent="0.2">
      <c r="A341" s="1" t="s">
        <v>22</v>
      </c>
      <c r="B341" s="2" t="s">
        <v>16</v>
      </c>
      <c r="C341" s="2" t="s">
        <v>20</v>
      </c>
      <c r="D341" s="2" t="s">
        <v>21</v>
      </c>
      <c r="E341" s="2">
        <v>2023</v>
      </c>
      <c r="F341" s="2" t="s">
        <v>203</v>
      </c>
      <c r="G341" s="2" t="s">
        <v>3095</v>
      </c>
      <c r="H341" s="2" t="s">
        <v>3092</v>
      </c>
      <c r="I341" s="1" t="s">
        <v>14</v>
      </c>
      <c r="J341" s="1" t="s">
        <v>4710</v>
      </c>
      <c r="K341" s="17"/>
      <c r="L341" s="54">
        <v>0.29499999999999998</v>
      </c>
      <c r="M341" s="39"/>
      <c r="N341" s="39"/>
      <c r="O341" s="39"/>
      <c r="P341" s="39"/>
      <c r="Q341" s="39"/>
      <c r="R341" s="39"/>
      <c r="S341" s="39">
        <v>504.3</v>
      </c>
      <c r="T341" s="39"/>
      <c r="U341" s="39"/>
      <c r="V341" s="39"/>
      <c r="W341" s="92"/>
    </row>
    <row r="342" spans="1:23" s="79" customFormat="1" ht="63.75" x14ac:dyDescent="0.2">
      <c r="A342" s="1" t="s">
        <v>22</v>
      </c>
      <c r="B342" s="2" t="s">
        <v>16</v>
      </c>
      <c r="C342" s="2" t="s">
        <v>20</v>
      </c>
      <c r="D342" s="2" t="s">
        <v>21</v>
      </c>
      <c r="E342" s="2">
        <v>2023</v>
      </c>
      <c r="F342" s="2" t="s">
        <v>221</v>
      </c>
      <c r="G342" s="2" t="s">
        <v>3095</v>
      </c>
      <c r="H342" s="2" t="s">
        <v>3092</v>
      </c>
      <c r="I342" s="1" t="s">
        <v>14</v>
      </c>
      <c r="J342" s="1" t="s">
        <v>4711</v>
      </c>
      <c r="K342" s="17"/>
      <c r="L342" s="54">
        <v>0.33600000000000002</v>
      </c>
      <c r="M342" s="39"/>
      <c r="N342" s="39"/>
      <c r="O342" s="39"/>
      <c r="P342" s="39"/>
      <c r="Q342" s="39"/>
      <c r="R342" s="39"/>
      <c r="S342" s="39">
        <v>387.3</v>
      </c>
      <c r="T342" s="39"/>
      <c r="U342" s="39"/>
      <c r="V342" s="39"/>
      <c r="W342" s="92"/>
    </row>
    <row r="343" spans="1:23" s="79" customFormat="1" ht="63.75" x14ac:dyDescent="0.2">
      <c r="A343" s="1" t="s">
        <v>22</v>
      </c>
      <c r="B343" s="2" t="s">
        <v>16</v>
      </c>
      <c r="C343" s="2" t="s">
        <v>20</v>
      </c>
      <c r="D343" s="2" t="s">
        <v>21</v>
      </c>
      <c r="E343" s="2">
        <v>2023</v>
      </c>
      <c r="F343" s="2" t="s">
        <v>256</v>
      </c>
      <c r="G343" s="2" t="s">
        <v>3095</v>
      </c>
      <c r="H343" s="2" t="s">
        <v>3092</v>
      </c>
      <c r="I343" s="1" t="s">
        <v>14</v>
      </c>
      <c r="J343" s="1" t="s">
        <v>4712</v>
      </c>
      <c r="K343" s="17"/>
      <c r="L343" s="54">
        <v>0.30199999999999999</v>
      </c>
      <c r="M343" s="39"/>
      <c r="N343" s="39"/>
      <c r="O343" s="39"/>
      <c r="P343" s="39"/>
      <c r="Q343" s="39"/>
      <c r="R343" s="39"/>
      <c r="S343" s="39">
        <v>546.6</v>
      </c>
      <c r="T343" s="39"/>
      <c r="U343" s="39"/>
      <c r="V343" s="39"/>
      <c r="W343" s="92"/>
    </row>
    <row r="344" spans="1:23" s="79" customFormat="1" ht="63.75" x14ac:dyDescent="0.2">
      <c r="A344" s="1" t="s">
        <v>22</v>
      </c>
      <c r="B344" s="2" t="s">
        <v>16</v>
      </c>
      <c r="C344" s="2" t="s">
        <v>20</v>
      </c>
      <c r="D344" s="2" t="s">
        <v>21</v>
      </c>
      <c r="E344" s="2">
        <v>2023</v>
      </c>
      <c r="F344" s="2" t="s">
        <v>276</v>
      </c>
      <c r="G344" s="2" t="s">
        <v>3095</v>
      </c>
      <c r="H344" s="2" t="s">
        <v>3092</v>
      </c>
      <c r="I344" s="1" t="s">
        <v>14</v>
      </c>
      <c r="J344" s="1" t="s">
        <v>4713</v>
      </c>
      <c r="K344" s="17"/>
      <c r="L344" s="54">
        <v>0.314</v>
      </c>
      <c r="M344" s="39"/>
      <c r="N344" s="39"/>
      <c r="O344" s="39"/>
      <c r="P344" s="39"/>
      <c r="Q344" s="39"/>
      <c r="R344" s="39"/>
      <c r="S344" s="39">
        <v>473.5</v>
      </c>
      <c r="T344" s="39"/>
      <c r="U344" s="39"/>
      <c r="V344" s="39"/>
      <c r="W344" s="92"/>
    </row>
    <row r="345" spans="1:23" s="79" customFormat="1" ht="63.75" x14ac:dyDescent="0.2">
      <c r="A345" s="1" t="s">
        <v>22</v>
      </c>
      <c r="B345" s="2" t="s">
        <v>16</v>
      </c>
      <c r="C345" s="2" t="s">
        <v>20</v>
      </c>
      <c r="D345" s="2" t="s">
        <v>21</v>
      </c>
      <c r="E345" s="2">
        <v>2023</v>
      </c>
      <c r="F345" s="2" t="s">
        <v>291</v>
      </c>
      <c r="G345" s="2" t="s">
        <v>3095</v>
      </c>
      <c r="H345" s="2" t="s">
        <v>3092</v>
      </c>
      <c r="I345" s="1" t="s">
        <v>14</v>
      </c>
      <c r="J345" s="1" t="s">
        <v>4714</v>
      </c>
      <c r="K345" s="17"/>
      <c r="L345" s="54">
        <v>0.35399999999999998</v>
      </c>
      <c r="M345" s="39"/>
      <c r="N345" s="39"/>
      <c r="O345" s="39"/>
      <c r="P345" s="39"/>
      <c r="Q345" s="39"/>
      <c r="R345" s="39"/>
      <c r="S345" s="39">
        <v>426.3</v>
      </c>
      <c r="T345" s="39"/>
      <c r="U345" s="39"/>
      <c r="V345" s="39"/>
      <c r="W345" s="92"/>
    </row>
    <row r="346" spans="1:23" s="79" customFormat="1" ht="63.75" x14ac:dyDescent="0.2">
      <c r="A346" s="1" t="s">
        <v>22</v>
      </c>
      <c r="B346" s="2" t="s">
        <v>16</v>
      </c>
      <c r="C346" s="2" t="s">
        <v>20</v>
      </c>
      <c r="D346" s="2" t="s">
        <v>21</v>
      </c>
      <c r="E346" s="2">
        <v>2023</v>
      </c>
      <c r="F346" s="2" t="s">
        <v>311</v>
      </c>
      <c r="G346" s="2" t="s">
        <v>3095</v>
      </c>
      <c r="H346" s="2" t="s">
        <v>3092</v>
      </c>
      <c r="I346" s="1" t="s">
        <v>14</v>
      </c>
      <c r="J346" s="1" t="s">
        <v>4715</v>
      </c>
      <c r="K346" s="17"/>
      <c r="L346" s="54">
        <v>0.32900000000000001</v>
      </c>
      <c r="M346" s="39"/>
      <c r="N346" s="39"/>
      <c r="O346" s="39"/>
      <c r="P346" s="39"/>
      <c r="Q346" s="39"/>
      <c r="R346" s="39"/>
      <c r="S346" s="39">
        <v>448.9</v>
      </c>
      <c r="T346" s="39"/>
      <c r="U346" s="39"/>
      <c r="V346" s="39"/>
      <c r="W346" s="92"/>
    </row>
    <row r="347" spans="1:23" s="79" customFormat="1" ht="63.75" x14ac:dyDescent="0.2">
      <c r="A347" s="1" t="s">
        <v>22</v>
      </c>
      <c r="B347" s="2" t="s">
        <v>16</v>
      </c>
      <c r="C347" s="2" t="s">
        <v>20</v>
      </c>
      <c r="D347" s="2" t="s">
        <v>21</v>
      </c>
      <c r="E347" s="2">
        <v>2023</v>
      </c>
      <c r="F347" s="2" t="s">
        <v>337</v>
      </c>
      <c r="G347" s="2" t="s">
        <v>3095</v>
      </c>
      <c r="H347" s="2" t="s">
        <v>3092</v>
      </c>
      <c r="I347" s="1" t="s">
        <v>14</v>
      </c>
      <c r="J347" s="1" t="s">
        <v>4716</v>
      </c>
      <c r="K347" s="17"/>
      <c r="L347" s="54">
        <v>0.317</v>
      </c>
      <c r="M347" s="39"/>
      <c r="N347" s="39"/>
      <c r="O347" s="39"/>
      <c r="P347" s="39"/>
      <c r="Q347" s="39"/>
      <c r="R347" s="39"/>
      <c r="S347" s="39">
        <v>433.9</v>
      </c>
      <c r="T347" s="39"/>
      <c r="U347" s="39"/>
      <c r="V347" s="39"/>
      <c r="W347" s="92"/>
    </row>
    <row r="348" spans="1:23" s="79" customFormat="1" ht="63.75" x14ac:dyDescent="0.2">
      <c r="A348" s="1" t="s">
        <v>22</v>
      </c>
      <c r="B348" s="2" t="s">
        <v>16</v>
      </c>
      <c r="C348" s="2" t="s">
        <v>20</v>
      </c>
      <c r="D348" s="2" t="s">
        <v>21</v>
      </c>
      <c r="E348" s="2">
        <v>2023</v>
      </c>
      <c r="F348" s="2" t="s">
        <v>364</v>
      </c>
      <c r="G348" s="2" t="s">
        <v>3095</v>
      </c>
      <c r="H348" s="2" t="s">
        <v>3092</v>
      </c>
      <c r="I348" s="1" t="s">
        <v>14</v>
      </c>
      <c r="J348" s="1" t="s">
        <v>4717</v>
      </c>
      <c r="K348" s="17"/>
      <c r="L348" s="54">
        <v>0.29699999999999999</v>
      </c>
      <c r="M348" s="39"/>
      <c r="N348" s="39"/>
      <c r="O348" s="39"/>
      <c r="P348" s="39"/>
      <c r="Q348" s="39"/>
      <c r="R348" s="39"/>
      <c r="S348" s="39">
        <v>458.1</v>
      </c>
      <c r="T348" s="39"/>
      <c r="U348" s="39"/>
      <c r="V348" s="39"/>
      <c r="W348" s="92"/>
    </row>
    <row r="349" spans="1:23" s="79" customFormat="1" ht="63.75" x14ac:dyDescent="0.2">
      <c r="A349" s="1" t="s">
        <v>22</v>
      </c>
      <c r="B349" s="2" t="s">
        <v>16</v>
      </c>
      <c r="C349" s="2" t="s">
        <v>20</v>
      </c>
      <c r="D349" s="2" t="s">
        <v>21</v>
      </c>
      <c r="E349" s="2">
        <v>2023</v>
      </c>
      <c r="F349" s="2" t="s">
        <v>388</v>
      </c>
      <c r="G349" s="2" t="s">
        <v>3095</v>
      </c>
      <c r="H349" s="2" t="s">
        <v>3092</v>
      </c>
      <c r="I349" s="1" t="s">
        <v>14</v>
      </c>
      <c r="J349" s="1" t="s">
        <v>4718</v>
      </c>
      <c r="K349" s="17"/>
      <c r="L349" s="54">
        <v>0.30399999999999999</v>
      </c>
      <c r="M349" s="39"/>
      <c r="N349" s="39"/>
      <c r="O349" s="39"/>
      <c r="P349" s="39"/>
      <c r="Q349" s="39"/>
      <c r="R349" s="39"/>
      <c r="S349" s="39">
        <v>377</v>
      </c>
      <c r="T349" s="39"/>
      <c r="U349" s="39"/>
      <c r="V349" s="39"/>
      <c r="W349" s="92"/>
    </row>
    <row r="350" spans="1:23" s="79" customFormat="1" ht="63.75" x14ac:dyDescent="0.2">
      <c r="A350" s="1" t="s">
        <v>19</v>
      </c>
      <c r="B350" s="2" t="s">
        <v>16</v>
      </c>
      <c r="C350" s="2" t="s">
        <v>20</v>
      </c>
      <c r="D350" s="2" t="s">
        <v>21</v>
      </c>
      <c r="E350" s="2">
        <v>2023</v>
      </c>
      <c r="F350" s="2" t="s">
        <v>13</v>
      </c>
      <c r="G350" s="2" t="s">
        <v>3095</v>
      </c>
      <c r="H350" s="2" t="s">
        <v>3092</v>
      </c>
      <c r="I350" s="1" t="s">
        <v>14</v>
      </c>
      <c r="J350" s="1" t="s">
        <v>4719</v>
      </c>
      <c r="K350" s="17"/>
      <c r="L350" s="54">
        <v>0.28299999999999997</v>
      </c>
      <c r="M350" s="15"/>
      <c r="N350" s="15"/>
      <c r="O350" s="15"/>
      <c r="P350" s="15"/>
      <c r="Q350" s="15"/>
      <c r="R350" s="15"/>
      <c r="S350" s="15">
        <v>943.38</v>
      </c>
      <c r="T350" s="15"/>
      <c r="U350" s="15"/>
      <c r="V350" s="15"/>
      <c r="W350" s="92"/>
    </row>
    <row r="351" spans="1:23" s="79" customFormat="1" ht="63.75" x14ac:dyDescent="0.2">
      <c r="A351" s="1" t="s">
        <v>19</v>
      </c>
      <c r="B351" s="2" t="s">
        <v>16</v>
      </c>
      <c r="C351" s="2" t="s">
        <v>20</v>
      </c>
      <c r="D351" s="2" t="s">
        <v>21</v>
      </c>
      <c r="E351" s="2">
        <v>2023</v>
      </c>
      <c r="F351" s="2" t="s">
        <v>188</v>
      </c>
      <c r="G351" s="2" t="s">
        <v>3095</v>
      </c>
      <c r="H351" s="2" t="s">
        <v>3092</v>
      </c>
      <c r="I351" s="1" t="s">
        <v>14</v>
      </c>
      <c r="J351" s="1" t="s">
        <v>4720</v>
      </c>
      <c r="K351" s="17"/>
      <c r="L351" s="54">
        <v>0.28799999999999998</v>
      </c>
      <c r="M351" s="39"/>
      <c r="N351" s="39"/>
      <c r="O351" s="39"/>
      <c r="P351" s="39"/>
      <c r="Q351" s="39"/>
      <c r="R351" s="39"/>
      <c r="S351" s="39">
        <v>840.4</v>
      </c>
      <c r="T351" s="39"/>
      <c r="U351" s="39"/>
      <c r="V351" s="39"/>
      <c r="W351" s="92"/>
    </row>
    <row r="352" spans="1:23" s="79" customFormat="1" ht="63.75" x14ac:dyDescent="0.2">
      <c r="A352" s="1" t="s">
        <v>19</v>
      </c>
      <c r="B352" s="2" t="s">
        <v>16</v>
      </c>
      <c r="C352" s="2" t="s">
        <v>20</v>
      </c>
      <c r="D352" s="2" t="s">
        <v>21</v>
      </c>
      <c r="E352" s="2">
        <v>2023</v>
      </c>
      <c r="F352" s="2" t="s">
        <v>203</v>
      </c>
      <c r="G352" s="2" t="s">
        <v>3095</v>
      </c>
      <c r="H352" s="2" t="s">
        <v>3092</v>
      </c>
      <c r="I352" s="1" t="s">
        <v>14</v>
      </c>
      <c r="J352" s="1" t="s">
        <v>4721</v>
      </c>
      <c r="K352" s="17"/>
      <c r="L352" s="54">
        <v>0.28799999999999998</v>
      </c>
      <c r="M352" s="39"/>
      <c r="N352" s="39"/>
      <c r="O352" s="39"/>
      <c r="P352" s="39"/>
      <c r="Q352" s="39"/>
      <c r="R352" s="39"/>
      <c r="S352" s="39">
        <v>1075.28</v>
      </c>
      <c r="T352" s="39"/>
      <c r="U352" s="39"/>
      <c r="V352" s="39"/>
      <c r="W352" s="92"/>
    </row>
    <row r="353" spans="1:23" s="79" customFormat="1" ht="63.75" x14ac:dyDescent="0.2">
      <c r="A353" s="1" t="s">
        <v>19</v>
      </c>
      <c r="B353" s="2" t="s">
        <v>16</v>
      </c>
      <c r="C353" s="2" t="s">
        <v>20</v>
      </c>
      <c r="D353" s="2" t="s">
        <v>21</v>
      </c>
      <c r="E353" s="2">
        <v>2023</v>
      </c>
      <c r="F353" s="2" t="s">
        <v>211</v>
      </c>
      <c r="G353" s="2" t="s">
        <v>3095</v>
      </c>
      <c r="H353" s="2" t="s">
        <v>3092</v>
      </c>
      <c r="I353" s="1" t="s">
        <v>14</v>
      </c>
      <c r="J353" s="1" t="s">
        <v>4722</v>
      </c>
      <c r="K353" s="17"/>
      <c r="L353" s="54">
        <v>0.28699999999999998</v>
      </c>
      <c r="M353" s="39"/>
      <c r="N353" s="39"/>
      <c r="O353" s="39"/>
      <c r="P353" s="39"/>
      <c r="Q353" s="39"/>
      <c r="R353" s="39"/>
      <c r="S353" s="39">
        <v>1659.6</v>
      </c>
      <c r="T353" s="39"/>
      <c r="U353" s="39"/>
      <c r="V353" s="39"/>
      <c r="W353" s="92"/>
    </row>
    <row r="354" spans="1:23" s="79" customFormat="1" ht="63.75" x14ac:dyDescent="0.2">
      <c r="A354" s="1" t="s">
        <v>19</v>
      </c>
      <c r="B354" s="2" t="s">
        <v>16</v>
      </c>
      <c r="C354" s="2" t="s">
        <v>20</v>
      </c>
      <c r="D354" s="2" t="s">
        <v>21</v>
      </c>
      <c r="E354" s="2">
        <v>2023</v>
      </c>
      <c r="F354" s="2" t="s">
        <v>221</v>
      </c>
      <c r="G354" s="2" t="s">
        <v>3095</v>
      </c>
      <c r="H354" s="2" t="s">
        <v>3092</v>
      </c>
      <c r="I354" s="1" t="s">
        <v>14</v>
      </c>
      <c r="J354" s="1" t="s">
        <v>4723</v>
      </c>
      <c r="K354" s="17"/>
      <c r="L354" s="54">
        <v>0.27900000000000003</v>
      </c>
      <c r="M354" s="39"/>
      <c r="N354" s="39"/>
      <c r="O354" s="39"/>
      <c r="P354" s="39"/>
      <c r="Q354" s="39"/>
      <c r="R354" s="39"/>
      <c r="S354" s="39">
        <v>2540.4</v>
      </c>
      <c r="T354" s="39"/>
      <c r="U354" s="39"/>
      <c r="V354" s="39"/>
      <c r="W354" s="92"/>
    </row>
    <row r="355" spans="1:23" s="79" customFormat="1" ht="89.25" x14ac:dyDescent="0.2">
      <c r="A355" s="1" t="s">
        <v>19</v>
      </c>
      <c r="B355" s="2" t="s">
        <v>16</v>
      </c>
      <c r="C355" s="2" t="s">
        <v>20</v>
      </c>
      <c r="D355" s="2" t="s">
        <v>21</v>
      </c>
      <c r="E355" s="2">
        <v>2023</v>
      </c>
      <c r="F355" s="2" t="s">
        <v>256</v>
      </c>
      <c r="G355" s="2" t="s">
        <v>3095</v>
      </c>
      <c r="H355" s="2" t="s">
        <v>3092</v>
      </c>
      <c r="I355" s="1" t="s">
        <v>14</v>
      </c>
      <c r="J355" s="1" t="s">
        <v>4724</v>
      </c>
      <c r="K355" s="17"/>
      <c r="L355" s="54">
        <v>0.28399999999999997</v>
      </c>
      <c r="M355" s="39"/>
      <c r="N355" s="39"/>
      <c r="O355" s="39"/>
      <c r="P355" s="39"/>
      <c r="Q355" s="39"/>
      <c r="R355" s="39"/>
      <c r="S355" s="39">
        <v>2736.9</v>
      </c>
      <c r="T355" s="39"/>
      <c r="U355" s="39"/>
      <c r="V355" s="39"/>
      <c r="W355" s="92"/>
    </row>
    <row r="356" spans="1:23" s="79" customFormat="1" ht="63.75" x14ac:dyDescent="0.2">
      <c r="A356" s="1" t="s">
        <v>19</v>
      </c>
      <c r="B356" s="2" t="s">
        <v>16</v>
      </c>
      <c r="C356" s="2" t="s">
        <v>20</v>
      </c>
      <c r="D356" s="2" t="s">
        <v>21</v>
      </c>
      <c r="E356" s="2">
        <v>2023</v>
      </c>
      <c r="F356" s="2" t="s">
        <v>276</v>
      </c>
      <c r="G356" s="2" t="s">
        <v>3095</v>
      </c>
      <c r="H356" s="2" t="s">
        <v>3092</v>
      </c>
      <c r="I356" s="1" t="s">
        <v>14</v>
      </c>
      <c r="J356" s="1" t="s">
        <v>4725</v>
      </c>
      <c r="K356" s="17"/>
      <c r="L356" s="54">
        <v>0.26200000000000001</v>
      </c>
      <c r="M356" s="39"/>
      <c r="N356" s="39"/>
      <c r="O356" s="39"/>
      <c r="P356" s="39"/>
      <c r="Q356" s="39"/>
      <c r="R356" s="39"/>
      <c r="S356" s="39">
        <v>1089.5</v>
      </c>
      <c r="T356" s="39"/>
      <c r="U356" s="39"/>
      <c r="V356" s="39"/>
      <c r="W356" s="92"/>
    </row>
    <row r="357" spans="1:23" s="79" customFormat="1" ht="63.75" x14ac:dyDescent="0.2">
      <c r="A357" s="1" t="s">
        <v>19</v>
      </c>
      <c r="B357" s="2" t="s">
        <v>16</v>
      </c>
      <c r="C357" s="2" t="s">
        <v>20</v>
      </c>
      <c r="D357" s="2" t="s">
        <v>21</v>
      </c>
      <c r="E357" s="2">
        <v>2023</v>
      </c>
      <c r="F357" s="2" t="s">
        <v>291</v>
      </c>
      <c r="G357" s="2" t="s">
        <v>3095</v>
      </c>
      <c r="H357" s="2" t="s">
        <v>3092</v>
      </c>
      <c r="I357" s="1" t="s">
        <v>14</v>
      </c>
      <c r="J357" s="1" t="s">
        <v>4726</v>
      </c>
      <c r="K357" s="17"/>
      <c r="L357" s="54">
        <v>0.26900000000000002</v>
      </c>
      <c r="M357" s="39"/>
      <c r="N357" s="39"/>
      <c r="O357" s="39"/>
      <c r="P357" s="39"/>
      <c r="Q357" s="39"/>
      <c r="R357" s="39"/>
      <c r="S357" s="39">
        <v>883.51</v>
      </c>
      <c r="T357" s="39"/>
      <c r="U357" s="39"/>
      <c r="V357" s="39"/>
      <c r="W357" s="92"/>
    </row>
    <row r="358" spans="1:23" s="79" customFormat="1" ht="89.25" x14ac:dyDescent="0.2">
      <c r="A358" s="1" t="s">
        <v>19</v>
      </c>
      <c r="B358" s="2" t="s">
        <v>16</v>
      </c>
      <c r="C358" s="2" t="s">
        <v>20</v>
      </c>
      <c r="D358" s="2" t="s">
        <v>21</v>
      </c>
      <c r="E358" s="2">
        <v>2023</v>
      </c>
      <c r="F358" s="2" t="s">
        <v>311</v>
      </c>
      <c r="G358" s="2" t="s">
        <v>3095</v>
      </c>
      <c r="H358" s="2" t="s">
        <v>3092</v>
      </c>
      <c r="I358" s="1" t="s">
        <v>14</v>
      </c>
      <c r="J358" s="1" t="s">
        <v>4727</v>
      </c>
      <c r="K358" s="17"/>
      <c r="L358" s="54">
        <v>0.28699999999999998</v>
      </c>
      <c r="M358" s="39"/>
      <c r="N358" s="39"/>
      <c r="O358" s="39"/>
      <c r="P358" s="39"/>
      <c r="Q358" s="39"/>
      <c r="R358" s="39"/>
      <c r="S358" s="39">
        <v>1628.82</v>
      </c>
      <c r="T358" s="39"/>
      <c r="U358" s="39"/>
      <c r="V358" s="39"/>
      <c r="W358" s="92"/>
    </row>
    <row r="359" spans="1:23" s="79" customFormat="1" ht="63.75" x14ac:dyDescent="0.2">
      <c r="A359" s="1" t="s">
        <v>19</v>
      </c>
      <c r="B359" s="2" t="s">
        <v>16</v>
      </c>
      <c r="C359" s="2" t="s">
        <v>20</v>
      </c>
      <c r="D359" s="2" t="s">
        <v>21</v>
      </c>
      <c r="E359" s="2">
        <v>2023</v>
      </c>
      <c r="F359" s="2" t="s">
        <v>337</v>
      </c>
      <c r="G359" s="2" t="s">
        <v>3095</v>
      </c>
      <c r="H359" s="2" t="s">
        <v>3092</v>
      </c>
      <c r="I359" s="1" t="s">
        <v>14</v>
      </c>
      <c r="J359" s="1" t="s">
        <v>4728</v>
      </c>
      <c r="K359" s="17"/>
      <c r="L359" s="54">
        <v>0.27200000000000002</v>
      </c>
      <c r="M359" s="39"/>
      <c r="N359" s="39"/>
      <c r="O359" s="39"/>
      <c r="P359" s="39"/>
      <c r="Q359" s="39"/>
      <c r="R359" s="39"/>
      <c r="S359" s="39">
        <v>1912.3</v>
      </c>
      <c r="T359" s="39"/>
      <c r="U359" s="39"/>
      <c r="V359" s="39"/>
      <c r="W359" s="92"/>
    </row>
    <row r="360" spans="1:23" s="79" customFormat="1" ht="76.5" x14ac:dyDescent="0.2">
      <c r="A360" s="1" t="s">
        <v>19</v>
      </c>
      <c r="B360" s="2" t="s">
        <v>16</v>
      </c>
      <c r="C360" s="2" t="s">
        <v>20</v>
      </c>
      <c r="D360" s="2" t="s">
        <v>21</v>
      </c>
      <c r="E360" s="2">
        <v>2023</v>
      </c>
      <c r="F360" s="2" t="s">
        <v>364</v>
      </c>
      <c r="G360" s="2" t="s">
        <v>3095</v>
      </c>
      <c r="H360" s="2" t="s">
        <v>3092</v>
      </c>
      <c r="I360" s="1" t="s">
        <v>14</v>
      </c>
      <c r="J360" s="1" t="s">
        <v>4729</v>
      </c>
      <c r="K360" s="17"/>
      <c r="L360" s="54">
        <v>0.26800000000000002</v>
      </c>
      <c r="M360" s="39"/>
      <c r="N360" s="39"/>
      <c r="O360" s="39"/>
      <c r="P360" s="39"/>
      <c r="Q360" s="39"/>
      <c r="R360" s="39"/>
      <c r="S360" s="39">
        <v>1335.1</v>
      </c>
      <c r="T360" s="39"/>
      <c r="U360" s="39"/>
      <c r="V360" s="39"/>
      <c r="W360" s="92"/>
    </row>
    <row r="361" spans="1:23" s="79" customFormat="1" ht="63.75" x14ac:dyDescent="0.2">
      <c r="A361" s="1" t="s">
        <v>19</v>
      </c>
      <c r="B361" s="2" t="s">
        <v>16</v>
      </c>
      <c r="C361" s="2" t="s">
        <v>20</v>
      </c>
      <c r="D361" s="2" t="s">
        <v>21</v>
      </c>
      <c r="E361" s="2">
        <v>2023</v>
      </c>
      <c r="F361" s="2" t="s">
        <v>388</v>
      </c>
      <c r="G361" s="2" t="s">
        <v>3095</v>
      </c>
      <c r="H361" s="2" t="s">
        <v>3092</v>
      </c>
      <c r="I361" s="1" t="s">
        <v>14</v>
      </c>
      <c r="J361" s="1" t="s">
        <v>4730</v>
      </c>
      <c r="K361" s="17"/>
      <c r="L361" s="54">
        <v>0.27200000000000002</v>
      </c>
      <c r="M361" s="39"/>
      <c r="N361" s="39"/>
      <c r="O361" s="39"/>
      <c r="P361" s="39"/>
      <c r="Q361" s="39"/>
      <c r="R361" s="39"/>
      <c r="S361" s="39">
        <v>777</v>
      </c>
      <c r="T361" s="39"/>
      <c r="U361" s="39"/>
      <c r="V361" s="39"/>
      <c r="W361" s="92"/>
    </row>
    <row r="362" spans="1:23" s="79" customFormat="1" ht="51" x14ac:dyDescent="0.2">
      <c r="A362" s="1" t="s">
        <v>23</v>
      </c>
      <c r="B362" s="2" t="s">
        <v>24</v>
      </c>
      <c r="C362" s="2" t="s">
        <v>20</v>
      </c>
      <c r="D362" s="2" t="s">
        <v>21</v>
      </c>
      <c r="E362" s="2">
        <v>2023</v>
      </c>
      <c r="F362" s="2" t="s">
        <v>13</v>
      </c>
      <c r="G362" s="2" t="s">
        <v>3095</v>
      </c>
      <c r="H362" s="2" t="s">
        <v>3092</v>
      </c>
      <c r="I362" s="1" t="s">
        <v>14</v>
      </c>
      <c r="J362" s="1" t="s">
        <v>4731</v>
      </c>
      <c r="K362" s="17"/>
      <c r="L362" s="54">
        <v>0.27700000000000002</v>
      </c>
      <c r="M362" s="15"/>
      <c r="N362" s="15"/>
      <c r="O362" s="15"/>
      <c r="P362" s="15"/>
      <c r="Q362" s="15"/>
      <c r="R362" s="15"/>
      <c r="S362" s="15">
        <v>726.7</v>
      </c>
      <c r="T362" s="15"/>
      <c r="U362" s="15"/>
      <c r="V362" s="15"/>
      <c r="W362" s="92"/>
    </row>
    <row r="363" spans="1:23" s="79" customFormat="1" ht="51" x14ac:dyDescent="0.2">
      <c r="A363" s="1" t="s">
        <v>23</v>
      </c>
      <c r="B363" s="2" t="s">
        <v>24</v>
      </c>
      <c r="C363" s="2" t="s">
        <v>20</v>
      </c>
      <c r="D363" s="2" t="s">
        <v>21</v>
      </c>
      <c r="E363" s="2">
        <v>2023</v>
      </c>
      <c r="F363" s="2" t="s">
        <v>188</v>
      </c>
      <c r="G363" s="2" t="s">
        <v>3095</v>
      </c>
      <c r="H363" s="2" t="s">
        <v>3092</v>
      </c>
      <c r="I363" s="1" t="s">
        <v>14</v>
      </c>
      <c r="J363" s="1" t="s">
        <v>4732</v>
      </c>
      <c r="K363" s="17"/>
      <c r="L363" s="54">
        <v>0.27500000000000002</v>
      </c>
      <c r="M363" s="39"/>
      <c r="N363" s="39"/>
      <c r="O363" s="39"/>
      <c r="P363" s="39"/>
      <c r="Q363" s="39"/>
      <c r="R363" s="39"/>
      <c r="S363" s="39">
        <v>612.4</v>
      </c>
      <c r="T363" s="39"/>
      <c r="U363" s="39"/>
      <c r="V363" s="39"/>
      <c r="W363" s="92"/>
    </row>
    <row r="364" spans="1:23" s="79" customFormat="1" ht="51" x14ac:dyDescent="0.2">
      <c r="A364" s="1" t="s">
        <v>23</v>
      </c>
      <c r="B364" s="2" t="s">
        <v>24</v>
      </c>
      <c r="C364" s="2" t="s">
        <v>20</v>
      </c>
      <c r="D364" s="2" t="s">
        <v>21</v>
      </c>
      <c r="E364" s="2">
        <v>2023</v>
      </c>
      <c r="F364" s="2" t="s">
        <v>203</v>
      </c>
      <c r="G364" s="2" t="s">
        <v>3095</v>
      </c>
      <c r="H364" s="2" t="s">
        <v>3092</v>
      </c>
      <c r="I364" s="1" t="s">
        <v>14</v>
      </c>
      <c r="J364" s="1" t="s">
        <v>4733</v>
      </c>
      <c r="K364" s="17"/>
      <c r="L364" s="54">
        <v>0.27900000000000003</v>
      </c>
      <c r="M364" s="39"/>
      <c r="N364" s="39"/>
      <c r="O364" s="39"/>
      <c r="P364" s="39"/>
      <c r="Q364" s="39"/>
      <c r="R364" s="39"/>
      <c r="S364" s="39">
        <v>728.1</v>
      </c>
      <c r="T364" s="39"/>
      <c r="U364" s="39"/>
      <c r="V364" s="39"/>
      <c r="W364" s="92"/>
    </row>
    <row r="365" spans="1:23" s="79" customFormat="1" ht="51" x14ac:dyDescent="0.2">
      <c r="A365" s="1" t="s">
        <v>23</v>
      </c>
      <c r="B365" s="2" t="s">
        <v>24</v>
      </c>
      <c r="C365" s="2" t="s">
        <v>20</v>
      </c>
      <c r="D365" s="2" t="s">
        <v>21</v>
      </c>
      <c r="E365" s="2">
        <v>2023</v>
      </c>
      <c r="F365" s="2" t="s">
        <v>211</v>
      </c>
      <c r="G365" s="2" t="s">
        <v>3095</v>
      </c>
      <c r="H365" s="2" t="s">
        <v>3092</v>
      </c>
      <c r="I365" s="1" t="s">
        <v>14</v>
      </c>
      <c r="J365" s="1" t="s">
        <v>4734</v>
      </c>
      <c r="K365" s="17"/>
      <c r="L365" s="54">
        <v>0.30299999999999999</v>
      </c>
      <c r="M365" s="39"/>
      <c r="N365" s="39"/>
      <c r="O365" s="39"/>
      <c r="P365" s="39"/>
      <c r="Q365" s="39"/>
      <c r="R365" s="39"/>
      <c r="S365" s="39">
        <v>745.1</v>
      </c>
      <c r="T365" s="39"/>
      <c r="U365" s="39"/>
      <c r="V365" s="39"/>
      <c r="W365" s="92"/>
    </row>
    <row r="366" spans="1:23" s="79" customFormat="1" ht="51" x14ac:dyDescent="0.2">
      <c r="A366" s="1" t="s">
        <v>23</v>
      </c>
      <c r="B366" s="2" t="s">
        <v>24</v>
      </c>
      <c r="C366" s="2" t="s">
        <v>20</v>
      </c>
      <c r="D366" s="2" t="s">
        <v>21</v>
      </c>
      <c r="E366" s="2">
        <v>2023</v>
      </c>
      <c r="F366" s="2" t="s">
        <v>221</v>
      </c>
      <c r="G366" s="2" t="s">
        <v>3095</v>
      </c>
      <c r="H366" s="2" t="s">
        <v>3092</v>
      </c>
      <c r="I366" s="1" t="s">
        <v>14</v>
      </c>
      <c r="J366" s="1" t="s">
        <v>4735</v>
      </c>
      <c r="K366" s="17"/>
      <c r="L366" s="54">
        <v>0.29299999999999998</v>
      </c>
      <c r="M366" s="39"/>
      <c r="N366" s="39"/>
      <c r="O366" s="39"/>
      <c r="P366" s="39"/>
      <c r="Q366" s="39"/>
      <c r="R366" s="39"/>
      <c r="S366" s="39">
        <v>821.6</v>
      </c>
      <c r="T366" s="39"/>
      <c r="U366" s="39"/>
      <c r="V366" s="39"/>
      <c r="W366" s="92"/>
    </row>
    <row r="367" spans="1:23" s="79" customFormat="1" ht="51" x14ac:dyDescent="0.2">
      <c r="A367" s="1" t="s">
        <v>23</v>
      </c>
      <c r="B367" s="2" t="s">
        <v>24</v>
      </c>
      <c r="C367" s="2" t="s">
        <v>20</v>
      </c>
      <c r="D367" s="2" t="s">
        <v>21</v>
      </c>
      <c r="E367" s="2">
        <v>2023</v>
      </c>
      <c r="F367" s="2" t="s">
        <v>256</v>
      </c>
      <c r="G367" s="2" t="s">
        <v>3095</v>
      </c>
      <c r="H367" s="2" t="s">
        <v>3092</v>
      </c>
      <c r="I367" s="1" t="s">
        <v>14</v>
      </c>
      <c r="J367" s="1" t="s">
        <v>4736</v>
      </c>
      <c r="K367" s="17"/>
      <c r="L367" s="54">
        <v>0.28499999999999998</v>
      </c>
      <c r="M367" s="39"/>
      <c r="N367" s="39"/>
      <c r="O367" s="39"/>
      <c r="P367" s="39"/>
      <c r="Q367" s="39"/>
      <c r="R367" s="39"/>
      <c r="S367" s="39">
        <v>730.5</v>
      </c>
      <c r="T367" s="39"/>
      <c r="U367" s="39"/>
      <c r="V367" s="39"/>
      <c r="W367" s="92"/>
    </row>
    <row r="368" spans="1:23" s="79" customFormat="1" ht="51" x14ac:dyDescent="0.2">
      <c r="A368" s="1" t="s">
        <v>23</v>
      </c>
      <c r="B368" s="2" t="s">
        <v>24</v>
      </c>
      <c r="C368" s="2" t="s">
        <v>20</v>
      </c>
      <c r="D368" s="2" t="s">
        <v>21</v>
      </c>
      <c r="E368" s="2">
        <v>2023</v>
      </c>
      <c r="F368" s="2" t="s">
        <v>276</v>
      </c>
      <c r="G368" s="2" t="s">
        <v>3095</v>
      </c>
      <c r="H368" s="2" t="s">
        <v>3092</v>
      </c>
      <c r="I368" s="1" t="s">
        <v>14</v>
      </c>
      <c r="J368" s="1" t="s">
        <v>4737</v>
      </c>
      <c r="K368" s="17"/>
      <c r="L368" s="54">
        <v>0.3</v>
      </c>
      <c r="M368" s="39"/>
      <c r="N368" s="39"/>
      <c r="O368" s="39"/>
      <c r="P368" s="39"/>
      <c r="Q368" s="39"/>
      <c r="R368" s="39"/>
      <c r="S368" s="39">
        <v>620.1</v>
      </c>
      <c r="T368" s="39"/>
      <c r="U368" s="39"/>
      <c r="V368" s="39"/>
      <c r="W368" s="92"/>
    </row>
    <row r="369" spans="1:23" s="79" customFormat="1" ht="51" x14ac:dyDescent="0.2">
      <c r="A369" s="1" t="s">
        <v>23</v>
      </c>
      <c r="B369" s="2" t="s">
        <v>24</v>
      </c>
      <c r="C369" s="2" t="s">
        <v>20</v>
      </c>
      <c r="D369" s="2" t="s">
        <v>21</v>
      </c>
      <c r="E369" s="2">
        <v>2023</v>
      </c>
      <c r="F369" s="2" t="s">
        <v>291</v>
      </c>
      <c r="G369" s="2" t="s">
        <v>3095</v>
      </c>
      <c r="H369" s="2" t="s">
        <v>3092</v>
      </c>
      <c r="I369" s="1" t="s">
        <v>14</v>
      </c>
      <c r="J369" s="1" t="s">
        <v>4738</v>
      </c>
      <c r="K369" s="17"/>
      <c r="L369" s="54">
        <v>0.27300000000000002</v>
      </c>
      <c r="M369" s="39"/>
      <c r="N369" s="39"/>
      <c r="O369" s="39"/>
      <c r="P369" s="39"/>
      <c r="Q369" s="39"/>
      <c r="R369" s="39"/>
      <c r="S369" s="39">
        <v>692.3</v>
      </c>
      <c r="T369" s="39"/>
      <c r="U369" s="39"/>
      <c r="V369" s="39"/>
      <c r="W369" s="92"/>
    </row>
    <row r="370" spans="1:23" s="79" customFormat="1" ht="51" x14ac:dyDescent="0.2">
      <c r="A370" s="1" t="s">
        <v>23</v>
      </c>
      <c r="B370" s="2" t="s">
        <v>24</v>
      </c>
      <c r="C370" s="2" t="s">
        <v>20</v>
      </c>
      <c r="D370" s="2" t="s">
        <v>21</v>
      </c>
      <c r="E370" s="2">
        <v>2023</v>
      </c>
      <c r="F370" s="2" t="s">
        <v>311</v>
      </c>
      <c r="G370" s="2" t="s">
        <v>3095</v>
      </c>
      <c r="H370" s="2" t="s">
        <v>3092</v>
      </c>
      <c r="I370" s="1" t="s">
        <v>14</v>
      </c>
      <c r="J370" s="1" t="s">
        <v>4739</v>
      </c>
      <c r="K370" s="17"/>
      <c r="L370" s="54">
        <v>0.28999999999999998</v>
      </c>
      <c r="M370" s="39"/>
      <c r="N370" s="39"/>
      <c r="O370" s="39"/>
      <c r="P370" s="39"/>
      <c r="Q370" s="39"/>
      <c r="R370" s="39"/>
      <c r="S370" s="39">
        <v>542</v>
      </c>
      <c r="T370" s="39"/>
      <c r="U370" s="39"/>
      <c r="V370" s="39"/>
      <c r="W370" s="92"/>
    </row>
    <row r="371" spans="1:23" s="79" customFormat="1" ht="51" x14ac:dyDescent="0.2">
      <c r="A371" s="1" t="s">
        <v>23</v>
      </c>
      <c r="B371" s="2" t="s">
        <v>24</v>
      </c>
      <c r="C371" s="2" t="s">
        <v>20</v>
      </c>
      <c r="D371" s="2" t="s">
        <v>21</v>
      </c>
      <c r="E371" s="2">
        <v>2023</v>
      </c>
      <c r="F371" s="2" t="s">
        <v>337</v>
      </c>
      <c r="G371" s="2" t="s">
        <v>3095</v>
      </c>
      <c r="H371" s="2" t="s">
        <v>3092</v>
      </c>
      <c r="I371" s="1" t="s">
        <v>14</v>
      </c>
      <c r="J371" s="1" t="s">
        <v>4740</v>
      </c>
      <c r="K371" s="17"/>
      <c r="L371" s="54">
        <v>0.29099999999999998</v>
      </c>
      <c r="M371" s="39"/>
      <c r="N371" s="39"/>
      <c r="O371" s="39"/>
      <c r="P371" s="39"/>
      <c r="Q371" s="39"/>
      <c r="R371" s="39"/>
      <c r="S371" s="39">
        <v>615.79999999999995</v>
      </c>
      <c r="T371" s="39"/>
      <c r="U371" s="39"/>
      <c r="V371" s="39"/>
      <c r="W371" s="92"/>
    </row>
    <row r="372" spans="1:23" s="79" customFormat="1" ht="51" x14ac:dyDescent="0.2">
      <c r="A372" s="1" t="s">
        <v>23</v>
      </c>
      <c r="B372" s="2" t="s">
        <v>24</v>
      </c>
      <c r="C372" s="2" t="s">
        <v>20</v>
      </c>
      <c r="D372" s="2" t="s">
        <v>21</v>
      </c>
      <c r="E372" s="2">
        <v>2023</v>
      </c>
      <c r="F372" s="2" t="s">
        <v>364</v>
      </c>
      <c r="G372" s="2" t="s">
        <v>3095</v>
      </c>
      <c r="H372" s="2" t="s">
        <v>3092</v>
      </c>
      <c r="I372" s="1" t="s">
        <v>14</v>
      </c>
      <c r="J372" s="1" t="s">
        <v>4741</v>
      </c>
      <c r="K372" s="17"/>
      <c r="L372" s="54">
        <v>0.28999999999999998</v>
      </c>
      <c r="M372" s="39"/>
      <c r="N372" s="39"/>
      <c r="O372" s="39"/>
      <c r="P372" s="39"/>
      <c r="Q372" s="39"/>
      <c r="R372" s="39"/>
      <c r="S372" s="39">
        <v>603.70000000000005</v>
      </c>
      <c r="T372" s="39"/>
      <c r="U372" s="39"/>
      <c r="V372" s="39"/>
      <c r="W372" s="92"/>
    </row>
    <row r="373" spans="1:23" s="79" customFormat="1" ht="51" x14ac:dyDescent="0.2">
      <c r="A373" s="1" t="s">
        <v>23</v>
      </c>
      <c r="B373" s="2" t="s">
        <v>24</v>
      </c>
      <c r="C373" s="2" t="s">
        <v>20</v>
      </c>
      <c r="D373" s="2" t="s">
        <v>21</v>
      </c>
      <c r="E373" s="2">
        <v>2023</v>
      </c>
      <c r="F373" s="2" t="s">
        <v>388</v>
      </c>
      <c r="G373" s="2" t="s">
        <v>3095</v>
      </c>
      <c r="H373" s="2" t="s">
        <v>3092</v>
      </c>
      <c r="I373" s="1" t="s">
        <v>14</v>
      </c>
      <c r="J373" s="1" t="s">
        <v>4742</v>
      </c>
      <c r="K373" s="17"/>
      <c r="L373" s="54">
        <v>0.30099999999999999</v>
      </c>
      <c r="M373" s="39"/>
      <c r="N373" s="39"/>
      <c r="O373" s="39"/>
      <c r="P373" s="39"/>
      <c r="Q373" s="39"/>
      <c r="R373" s="39"/>
      <c r="S373" s="39">
        <v>617.5</v>
      </c>
      <c r="T373" s="39"/>
      <c r="U373" s="39"/>
      <c r="V373" s="39"/>
      <c r="W373" s="92"/>
    </row>
    <row r="374" spans="1:23" s="79" customFormat="1" ht="153" x14ac:dyDescent="0.2">
      <c r="A374" s="1" t="s">
        <v>4743</v>
      </c>
      <c r="B374" s="2" t="s">
        <v>196</v>
      </c>
      <c r="C374" s="2" t="s">
        <v>191</v>
      </c>
      <c r="D374" s="2" t="s">
        <v>192</v>
      </c>
      <c r="E374" s="2">
        <v>2023</v>
      </c>
      <c r="F374" s="2" t="s">
        <v>311</v>
      </c>
      <c r="G374" s="2" t="s">
        <v>3092</v>
      </c>
      <c r="H374" s="2" t="s">
        <v>3093</v>
      </c>
      <c r="I374" s="1" t="s">
        <v>4744</v>
      </c>
      <c r="J374" s="1" t="s">
        <v>14</v>
      </c>
      <c r="K374" s="17"/>
      <c r="L374" s="54"/>
      <c r="M374" s="39"/>
      <c r="N374" s="39"/>
      <c r="O374" s="39"/>
      <c r="P374" s="39"/>
      <c r="Q374" s="39"/>
      <c r="R374" s="39"/>
      <c r="S374" s="39"/>
      <c r="T374" s="39"/>
      <c r="U374" s="39"/>
      <c r="V374" s="39"/>
      <c r="W374" s="92" t="s">
        <v>1693</v>
      </c>
    </row>
    <row r="375" spans="1:23" s="79" customFormat="1" ht="89.25" x14ac:dyDescent="0.2">
      <c r="A375" s="1" t="s">
        <v>4743</v>
      </c>
      <c r="B375" s="2" t="s">
        <v>196</v>
      </c>
      <c r="C375" s="2" t="s">
        <v>191</v>
      </c>
      <c r="D375" s="2" t="s">
        <v>192</v>
      </c>
      <c r="E375" s="2">
        <v>2023</v>
      </c>
      <c r="F375" s="2" t="s">
        <v>364</v>
      </c>
      <c r="G375" s="2" t="s">
        <v>3092</v>
      </c>
      <c r="H375" s="2" t="s">
        <v>3092</v>
      </c>
      <c r="I375" s="1" t="s">
        <v>4745</v>
      </c>
      <c r="J375" s="1" t="s">
        <v>4746</v>
      </c>
      <c r="K375" s="17"/>
      <c r="L375" s="54">
        <v>0.06</v>
      </c>
      <c r="M375" s="39"/>
      <c r="N375" s="39"/>
      <c r="O375" s="39">
        <v>595</v>
      </c>
      <c r="P375" s="39"/>
      <c r="Q375" s="39"/>
      <c r="R375" s="39"/>
      <c r="S375" s="39"/>
      <c r="T375" s="39"/>
      <c r="U375" s="39"/>
      <c r="V375" s="39"/>
      <c r="W375" s="92" t="s">
        <v>1699</v>
      </c>
    </row>
    <row r="376" spans="1:23" s="79" customFormat="1" ht="25.5" x14ac:dyDescent="0.2">
      <c r="A376" s="1" t="s">
        <v>168</v>
      </c>
      <c r="B376" s="2" t="s">
        <v>10</v>
      </c>
      <c r="C376" s="2" t="s">
        <v>169</v>
      </c>
      <c r="D376" s="2" t="s">
        <v>170</v>
      </c>
      <c r="E376" s="2">
        <v>2023</v>
      </c>
      <c r="F376" s="2" t="s">
        <v>13</v>
      </c>
      <c r="G376" s="2" t="s">
        <v>3095</v>
      </c>
      <c r="H376" s="2" t="s">
        <v>3092</v>
      </c>
      <c r="I376" s="1" t="s">
        <v>14</v>
      </c>
      <c r="J376" s="1" t="s">
        <v>2267</v>
      </c>
      <c r="K376" s="17"/>
      <c r="L376" s="53"/>
      <c r="M376" s="39"/>
      <c r="N376" s="39"/>
      <c r="O376" s="39"/>
      <c r="P376" s="39"/>
      <c r="Q376" s="39"/>
      <c r="R376" s="39"/>
      <c r="S376" s="39"/>
      <c r="T376" s="39"/>
      <c r="U376" s="39"/>
      <c r="V376" s="39"/>
      <c r="W376" s="92" t="s">
        <v>1735</v>
      </c>
    </row>
    <row r="377" spans="1:23" s="79" customFormat="1" ht="25.5" x14ac:dyDescent="0.2">
      <c r="A377" s="1" t="s">
        <v>168</v>
      </c>
      <c r="B377" s="2" t="s">
        <v>10</v>
      </c>
      <c r="C377" s="2" t="s">
        <v>169</v>
      </c>
      <c r="D377" s="2" t="s">
        <v>170</v>
      </c>
      <c r="E377" s="2">
        <v>2023</v>
      </c>
      <c r="F377" s="2" t="s">
        <v>188</v>
      </c>
      <c r="G377" s="2" t="s">
        <v>3095</v>
      </c>
      <c r="H377" s="2" t="s">
        <v>3092</v>
      </c>
      <c r="I377" s="1" t="s">
        <v>14</v>
      </c>
      <c r="J377" s="1" t="s">
        <v>4747</v>
      </c>
      <c r="K377" s="17"/>
      <c r="L377" s="54"/>
      <c r="M377" s="39"/>
      <c r="N377" s="39"/>
      <c r="O377" s="39"/>
      <c r="P377" s="39"/>
      <c r="Q377" s="39"/>
      <c r="R377" s="39"/>
      <c r="S377" s="39"/>
      <c r="T377" s="39"/>
      <c r="U377" s="39"/>
      <c r="V377" s="39"/>
      <c r="W377" s="92" t="s">
        <v>1735</v>
      </c>
    </row>
    <row r="378" spans="1:23" s="79" customFormat="1" ht="25.5" x14ac:dyDescent="0.2">
      <c r="A378" s="1" t="s">
        <v>168</v>
      </c>
      <c r="B378" s="2" t="s">
        <v>10</v>
      </c>
      <c r="C378" s="2" t="s">
        <v>169</v>
      </c>
      <c r="D378" s="2" t="s">
        <v>170</v>
      </c>
      <c r="E378" s="2">
        <v>2023</v>
      </c>
      <c r="F378" s="2" t="s">
        <v>203</v>
      </c>
      <c r="G378" s="2" t="s">
        <v>3095</v>
      </c>
      <c r="H378" s="2" t="s">
        <v>3092</v>
      </c>
      <c r="I378" s="1" t="s">
        <v>14</v>
      </c>
      <c r="J378" s="1" t="s">
        <v>2267</v>
      </c>
      <c r="K378" s="17"/>
      <c r="L378" s="54"/>
      <c r="M378" s="39"/>
      <c r="N378" s="39"/>
      <c r="O378" s="39"/>
      <c r="P378" s="39"/>
      <c r="Q378" s="39"/>
      <c r="R378" s="39"/>
      <c r="S378" s="39"/>
      <c r="T378" s="39"/>
      <c r="U378" s="39"/>
      <c r="V378" s="39"/>
      <c r="W378" s="92" t="s">
        <v>1735</v>
      </c>
    </row>
    <row r="379" spans="1:23" s="79" customFormat="1" ht="25.5" x14ac:dyDescent="0.2">
      <c r="A379" s="1" t="s">
        <v>168</v>
      </c>
      <c r="B379" s="2" t="s">
        <v>10</v>
      </c>
      <c r="C379" s="2" t="s">
        <v>169</v>
      </c>
      <c r="D379" s="2" t="s">
        <v>170</v>
      </c>
      <c r="E379" s="2">
        <v>2023</v>
      </c>
      <c r="F379" s="2" t="s">
        <v>211</v>
      </c>
      <c r="G379" s="2" t="s">
        <v>3095</v>
      </c>
      <c r="H379" s="2" t="s">
        <v>3092</v>
      </c>
      <c r="I379" s="1" t="s">
        <v>14</v>
      </c>
      <c r="J379" s="1" t="s">
        <v>3539</v>
      </c>
      <c r="K379" s="17"/>
      <c r="L379" s="54"/>
      <c r="M379" s="39"/>
      <c r="N379" s="39"/>
      <c r="O379" s="39"/>
      <c r="P379" s="39"/>
      <c r="Q379" s="39"/>
      <c r="R379" s="39"/>
      <c r="S379" s="39"/>
      <c r="T379" s="39"/>
      <c r="U379" s="39"/>
      <c r="V379" s="39"/>
      <c r="W379" s="92" t="s">
        <v>1735</v>
      </c>
    </row>
    <row r="380" spans="1:23" s="79" customFormat="1" ht="25.5" x14ac:dyDescent="0.2">
      <c r="A380" s="1" t="s">
        <v>168</v>
      </c>
      <c r="B380" s="2" t="s">
        <v>10</v>
      </c>
      <c r="C380" s="2" t="s">
        <v>169</v>
      </c>
      <c r="D380" s="2" t="s">
        <v>170</v>
      </c>
      <c r="E380" s="2">
        <v>2023</v>
      </c>
      <c r="F380" s="2" t="s">
        <v>221</v>
      </c>
      <c r="G380" s="2" t="s">
        <v>3095</v>
      </c>
      <c r="H380" s="2" t="s">
        <v>3092</v>
      </c>
      <c r="I380" s="1" t="s">
        <v>14</v>
      </c>
      <c r="J380" s="1" t="s">
        <v>3539</v>
      </c>
      <c r="K380" s="17"/>
      <c r="L380" s="54"/>
      <c r="M380" s="39"/>
      <c r="N380" s="39"/>
      <c r="O380" s="39"/>
      <c r="P380" s="39"/>
      <c r="Q380" s="39"/>
      <c r="R380" s="39"/>
      <c r="S380" s="39"/>
      <c r="T380" s="39"/>
      <c r="U380" s="39"/>
      <c r="V380" s="39"/>
      <c r="W380" s="92" t="s">
        <v>1735</v>
      </c>
    </row>
    <row r="381" spans="1:23" s="79" customFormat="1" ht="25.5" x14ac:dyDescent="0.2">
      <c r="A381" s="1" t="s">
        <v>168</v>
      </c>
      <c r="B381" s="2" t="s">
        <v>10</v>
      </c>
      <c r="C381" s="2" t="s">
        <v>169</v>
      </c>
      <c r="D381" s="2" t="s">
        <v>170</v>
      </c>
      <c r="E381" s="2">
        <v>2023</v>
      </c>
      <c r="F381" s="2" t="s">
        <v>256</v>
      </c>
      <c r="G381" s="2" t="s">
        <v>3095</v>
      </c>
      <c r="H381" s="2" t="s">
        <v>3092</v>
      </c>
      <c r="I381" s="1" t="s">
        <v>14</v>
      </c>
      <c r="J381" s="1" t="s">
        <v>2267</v>
      </c>
      <c r="K381" s="17"/>
      <c r="L381" s="54"/>
      <c r="M381" s="39"/>
      <c r="N381" s="39"/>
      <c r="O381" s="39"/>
      <c r="P381" s="39"/>
      <c r="Q381" s="39"/>
      <c r="R381" s="39"/>
      <c r="S381" s="39"/>
      <c r="T381" s="39"/>
      <c r="U381" s="39"/>
      <c r="V381" s="39"/>
      <c r="W381" s="92" t="s">
        <v>1735</v>
      </c>
    </row>
    <row r="382" spans="1:23" s="79" customFormat="1" ht="25.5" x14ac:dyDescent="0.2">
      <c r="A382" s="1" t="s">
        <v>168</v>
      </c>
      <c r="B382" s="2" t="s">
        <v>10</v>
      </c>
      <c r="C382" s="2" t="s">
        <v>169</v>
      </c>
      <c r="D382" s="2" t="s">
        <v>170</v>
      </c>
      <c r="E382" s="2">
        <v>2023</v>
      </c>
      <c r="F382" s="2" t="s">
        <v>276</v>
      </c>
      <c r="G382" s="2" t="s">
        <v>3095</v>
      </c>
      <c r="H382" s="2" t="s">
        <v>3092</v>
      </c>
      <c r="I382" s="1" t="s">
        <v>14</v>
      </c>
      <c r="J382" s="1" t="s">
        <v>2267</v>
      </c>
      <c r="K382" s="17"/>
      <c r="L382" s="54"/>
      <c r="M382" s="39"/>
      <c r="N382" s="39"/>
      <c r="O382" s="39"/>
      <c r="P382" s="39"/>
      <c r="Q382" s="39"/>
      <c r="R382" s="39"/>
      <c r="S382" s="39"/>
      <c r="T382" s="39"/>
      <c r="U382" s="39"/>
      <c r="V382" s="39"/>
      <c r="W382" s="92" t="s">
        <v>1735</v>
      </c>
    </row>
    <row r="383" spans="1:23" s="79" customFormat="1" ht="25.5" x14ac:dyDescent="0.2">
      <c r="A383" s="1" t="s">
        <v>168</v>
      </c>
      <c r="B383" s="2" t="s">
        <v>10</v>
      </c>
      <c r="C383" s="2" t="s">
        <v>169</v>
      </c>
      <c r="D383" s="2" t="s">
        <v>170</v>
      </c>
      <c r="E383" s="2">
        <v>2023</v>
      </c>
      <c r="F383" s="2" t="s">
        <v>291</v>
      </c>
      <c r="G383" s="2" t="s">
        <v>3095</v>
      </c>
      <c r="H383" s="2" t="s">
        <v>3092</v>
      </c>
      <c r="I383" s="1" t="s">
        <v>14</v>
      </c>
      <c r="J383" s="1" t="s">
        <v>2267</v>
      </c>
      <c r="K383" s="17"/>
      <c r="L383" s="54"/>
      <c r="M383" s="39"/>
      <c r="N383" s="39"/>
      <c r="O383" s="39"/>
      <c r="P383" s="39"/>
      <c r="Q383" s="39"/>
      <c r="R383" s="39"/>
      <c r="S383" s="39"/>
      <c r="T383" s="39"/>
      <c r="U383" s="39"/>
      <c r="V383" s="39"/>
      <c r="W383" s="92" t="s">
        <v>1735</v>
      </c>
    </row>
    <row r="384" spans="1:23" s="79" customFormat="1" ht="25.5" x14ac:dyDescent="0.2">
      <c r="A384" s="1" t="s">
        <v>168</v>
      </c>
      <c r="B384" s="2" t="s">
        <v>10</v>
      </c>
      <c r="C384" s="2" t="s">
        <v>169</v>
      </c>
      <c r="D384" s="2" t="s">
        <v>170</v>
      </c>
      <c r="E384" s="2">
        <v>2023</v>
      </c>
      <c r="F384" s="2" t="s">
        <v>311</v>
      </c>
      <c r="G384" s="2" t="s">
        <v>3095</v>
      </c>
      <c r="H384" s="2" t="s">
        <v>3092</v>
      </c>
      <c r="I384" s="1" t="s">
        <v>14</v>
      </c>
      <c r="J384" s="1" t="s">
        <v>2267</v>
      </c>
      <c r="K384" s="17"/>
      <c r="L384" s="54"/>
      <c r="M384" s="39"/>
      <c r="N384" s="39"/>
      <c r="O384" s="39"/>
      <c r="P384" s="39"/>
      <c r="Q384" s="39"/>
      <c r="R384" s="39"/>
      <c r="S384" s="39"/>
      <c r="T384" s="39"/>
      <c r="U384" s="39"/>
      <c r="V384" s="39"/>
      <c r="W384" s="92" t="s">
        <v>1735</v>
      </c>
    </row>
    <row r="385" spans="1:24" s="79" customFormat="1" ht="25.5" x14ac:dyDescent="0.2">
      <c r="A385" s="1" t="s">
        <v>168</v>
      </c>
      <c r="B385" s="2" t="s">
        <v>10</v>
      </c>
      <c r="C385" s="2" t="s">
        <v>169</v>
      </c>
      <c r="D385" s="2" t="s">
        <v>170</v>
      </c>
      <c r="E385" s="2">
        <v>2023</v>
      </c>
      <c r="F385" s="2" t="s">
        <v>337</v>
      </c>
      <c r="G385" s="2" t="s">
        <v>3095</v>
      </c>
      <c r="H385" s="2" t="s">
        <v>3092</v>
      </c>
      <c r="I385" s="1" t="s">
        <v>14</v>
      </c>
      <c r="J385" s="1" t="s">
        <v>2267</v>
      </c>
      <c r="K385" s="17"/>
      <c r="L385" s="54"/>
      <c r="M385" s="39"/>
      <c r="N385" s="39"/>
      <c r="O385" s="39"/>
      <c r="P385" s="39"/>
      <c r="Q385" s="39"/>
      <c r="R385" s="39"/>
      <c r="S385" s="39"/>
      <c r="T385" s="39"/>
      <c r="U385" s="39"/>
      <c r="V385" s="39"/>
      <c r="W385" s="92" t="s">
        <v>1735</v>
      </c>
    </row>
    <row r="386" spans="1:24" s="79" customFormat="1" ht="25.5" x14ac:dyDescent="0.2">
      <c r="A386" s="1" t="s">
        <v>168</v>
      </c>
      <c r="B386" s="2" t="s">
        <v>10</v>
      </c>
      <c r="C386" s="2" t="s">
        <v>169</v>
      </c>
      <c r="D386" s="2" t="s">
        <v>170</v>
      </c>
      <c r="E386" s="2">
        <v>2023</v>
      </c>
      <c r="F386" s="2" t="s">
        <v>388</v>
      </c>
      <c r="G386" s="2" t="s">
        <v>3095</v>
      </c>
      <c r="H386" s="2" t="s">
        <v>3092</v>
      </c>
      <c r="I386" s="1" t="s">
        <v>14</v>
      </c>
      <c r="J386" s="1" t="s">
        <v>3539</v>
      </c>
      <c r="K386" s="17"/>
      <c r="L386" s="58"/>
      <c r="M386" s="59"/>
      <c r="N386" s="59"/>
      <c r="O386" s="59"/>
      <c r="P386" s="59"/>
      <c r="Q386" s="59"/>
      <c r="R386" s="59"/>
      <c r="S386" s="59"/>
      <c r="T386" s="59"/>
      <c r="U386" s="59"/>
      <c r="V386" s="59"/>
      <c r="W386" s="92" t="s">
        <v>1735</v>
      </c>
      <c r="X386"/>
    </row>
    <row r="387" spans="1:24" s="79" customFormat="1" ht="114.75" x14ac:dyDescent="0.2">
      <c r="A387" s="1" t="s">
        <v>445</v>
      </c>
      <c r="B387" s="2" t="s">
        <v>196</v>
      </c>
      <c r="C387" s="2" t="s">
        <v>30</v>
      </c>
      <c r="D387" s="2" t="s">
        <v>31</v>
      </c>
      <c r="E387" s="2">
        <v>2023</v>
      </c>
      <c r="F387" s="2" t="s">
        <v>291</v>
      </c>
      <c r="G387" s="2" t="s">
        <v>3092</v>
      </c>
      <c r="H387" s="2" t="s">
        <v>3092</v>
      </c>
      <c r="I387" s="1" t="s">
        <v>4748</v>
      </c>
      <c r="J387" s="1" t="s">
        <v>4749</v>
      </c>
      <c r="K387" s="17"/>
      <c r="L387" s="54">
        <v>0.38</v>
      </c>
      <c r="M387" s="39"/>
      <c r="N387" s="39"/>
      <c r="O387" s="39">
        <f>200/L387</f>
        <v>526.31578947368416</v>
      </c>
      <c r="P387" s="39"/>
      <c r="Q387" s="39"/>
      <c r="R387" s="39"/>
      <c r="S387" s="39"/>
      <c r="T387" s="39"/>
      <c r="U387" s="39"/>
      <c r="V387" s="39"/>
      <c r="W387" s="92" t="s">
        <v>4079</v>
      </c>
    </row>
    <row r="388" spans="1:24" s="79" customFormat="1" ht="102" x14ac:dyDescent="0.2">
      <c r="A388" s="1" t="s">
        <v>4750</v>
      </c>
      <c r="B388" s="2" t="s">
        <v>196</v>
      </c>
      <c r="C388" s="2" t="s">
        <v>30</v>
      </c>
      <c r="D388" s="2" t="s">
        <v>31</v>
      </c>
      <c r="E388" s="2">
        <v>2023</v>
      </c>
      <c r="F388" s="2" t="s">
        <v>291</v>
      </c>
      <c r="G388" s="2" t="s">
        <v>3092</v>
      </c>
      <c r="H388" s="2" t="s">
        <v>3092</v>
      </c>
      <c r="I388" s="1" t="s">
        <v>4751</v>
      </c>
      <c r="J388" s="1" t="s">
        <v>4752</v>
      </c>
      <c r="K388" s="17"/>
      <c r="L388" s="54"/>
      <c r="M388" s="39"/>
      <c r="N388" s="39"/>
      <c r="O388" s="39"/>
      <c r="P388" s="39"/>
      <c r="Q388" s="39"/>
      <c r="R388" s="39"/>
      <c r="S388" s="39"/>
      <c r="T388" s="39"/>
      <c r="U388" s="39"/>
      <c r="V388" s="39"/>
      <c r="W388" s="92" t="s">
        <v>1695</v>
      </c>
    </row>
    <row r="389" spans="1:24" s="79" customFormat="1" ht="63.75" x14ac:dyDescent="0.2">
      <c r="A389" s="1" t="s">
        <v>4750</v>
      </c>
      <c r="B389" s="2" t="s">
        <v>196</v>
      </c>
      <c r="C389" s="2" t="s">
        <v>30</v>
      </c>
      <c r="D389" s="2" t="s">
        <v>31</v>
      </c>
      <c r="E389" s="2">
        <v>2023</v>
      </c>
      <c r="F389" s="2" t="s">
        <v>311</v>
      </c>
      <c r="G389" s="2" t="s">
        <v>3092</v>
      </c>
      <c r="H389" s="2" t="s">
        <v>3093</v>
      </c>
      <c r="I389" s="1" t="s">
        <v>4753</v>
      </c>
      <c r="J389" s="1" t="s">
        <v>4754</v>
      </c>
      <c r="K389" s="17"/>
      <c r="L389" s="54"/>
      <c r="M389" s="39"/>
      <c r="N389" s="39"/>
      <c r="O389" s="39"/>
      <c r="P389" s="39"/>
      <c r="Q389" s="39"/>
      <c r="R389" s="39"/>
      <c r="S389" s="39"/>
      <c r="T389" s="39"/>
      <c r="U389" s="39"/>
      <c r="V389" s="39"/>
      <c r="W389" s="92" t="s">
        <v>1695</v>
      </c>
    </row>
    <row r="390" spans="1:24" s="79" customFormat="1" ht="38.25" x14ac:dyDescent="0.2">
      <c r="A390" s="1" t="s">
        <v>28</v>
      </c>
      <c r="B390" s="2" t="s">
        <v>29</v>
      </c>
      <c r="C390" s="2" t="s">
        <v>30</v>
      </c>
      <c r="D390" s="2" t="s">
        <v>31</v>
      </c>
      <c r="E390" s="2">
        <v>2023</v>
      </c>
      <c r="F390" s="2" t="s">
        <v>13</v>
      </c>
      <c r="G390" s="2" t="s">
        <v>3093</v>
      </c>
      <c r="H390" s="2" t="s">
        <v>3092</v>
      </c>
      <c r="I390" s="1" t="s">
        <v>14</v>
      </c>
      <c r="J390" s="1" t="s">
        <v>4755</v>
      </c>
      <c r="K390" s="17"/>
      <c r="L390" s="54">
        <v>0.188</v>
      </c>
      <c r="M390" s="39"/>
      <c r="N390" s="39"/>
      <c r="O390" s="39">
        <v>613.33000000000004</v>
      </c>
      <c r="P390" s="39"/>
      <c r="Q390" s="39"/>
      <c r="R390" s="39"/>
      <c r="S390" s="39"/>
      <c r="T390" s="39"/>
      <c r="U390" s="39"/>
      <c r="V390" s="39"/>
      <c r="W390" s="92" t="s">
        <v>1736</v>
      </c>
    </row>
    <row r="391" spans="1:24" s="79" customFormat="1" ht="38.25" x14ac:dyDescent="0.2">
      <c r="A391" s="1" t="s">
        <v>28</v>
      </c>
      <c r="B391" s="2" t="s">
        <v>29</v>
      </c>
      <c r="C391" s="2" t="s">
        <v>30</v>
      </c>
      <c r="D391" s="2" t="s">
        <v>31</v>
      </c>
      <c r="E391" s="2">
        <v>2023</v>
      </c>
      <c r="F391" s="2" t="s">
        <v>188</v>
      </c>
      <c r="G391" s="2" t="s">
        <v>3093</v>
      </c>
      <c r="H391" s="2" t="s">
        <v>3092</v>
      </c>
      <c r="I391" s="1" t="s">
        <v>14</v>
      </c>
      <c r="J391" s="1" t="s">
        <v>4756</v>
      </c>
      <c r="K391" s="17"/>
      <c r="L391" s="54">
        <v>0.193</v>
      </c>
      <c r="M391" s="39"/>
      <c r="N391" s="39"/>
      <c r="O391" s="39">
        <v>521.61</v>
      </c>
      <c r="P391" s="39"/>
      <c r="Q391" s="39"/>
      <c r="R391" s="39"/>
      <c r="S391" s="39"/>
      <c r="T391" s="39"/>
      <c r="U391" s="39"/>
      <c r="V391" s="39"/>
      <c r="W391" s="92" t="s">
        <v>1736</v>
      </c>
    </row>
    <row r="392" spans="1:24" s="79" customFormat="1" ht="38.25" x14ac:dyDescent="0.2">
      <c r="A392" s="1" t="s">
        <v>28</v>
      </c>
      <c r="B392" s="2" t="s">
        <v>29</v>
      </c>
      <c r="C392" s="2" t="s">
        <v>30</v>
      </c>
      <c r="D392" s="2" t="s">
        <v>31</v>
      </c>
      <c r="E392" s="2">
        <v>2023</v>
      </c>
      <c r="F392" s="2" t="s">
        <v>203</v>
      </c>
      <c r="G392" s="2" t="s">
        <v>3093</v>
      </c>
      <c r="H392" s="2" t="s">
        <v>3092</v>
      </c>
      <c r="I392" s="1" t="s">
        <v>14</v>
      </c>
      <c r="J392" s="1" t="s">
        <v>4757</v>
      </c>
      <c r="K392" s="17"/>
      <c r="L392" s="54">
        <v>0.19900000000000001</v>
      </c>
      <c r="M392" s="39"/>
      <c r="N392" s="39"/>
      <c r="O392" s="39">
        <v>568.15</v>
      </c>
      <c r="P392" s="39"/>
      <c r="Q392" s="39"/>
      <c r="R392" s="39"/>
      <c r="S392" s="39"/>
      <c r="T392" s="39"/>
      <c r="U392" s="39"/>
      <c r="V392" s="39"/>
      <c r="W392" s="92" t="s">
        <v>1736</v>
      </c>
    </row>
    <row r="393" spans="1:24" s="79" customFormat="1" ht="38.25" x14ac:dyDescent="0.2">
      <c r="A393" s="1" t="s">
        <v>28</v>
      </c>
      <c r="B393" s="2" t="s">
        <v>29</v>
      </c>
      <c r="C393" s="2" t="s">
        <v>30</v>
      </c>
      <c r="D393" s="2" t="s">
        <v>31</v>
      </c>
      <c r="E393" s="2">
        <v>2023</v>
      </c>
      <c r="F393" s="2" t="s">
        <v>211</v>
      </c>
      <c r="G393" s="2" t="s">
        <v>3093</v>
      </c>
      <c r="H393" s="2" t="s">
        <v>3092</v>
      </c>
      <c r="I393" s="1" t="s">
        <v>14</v>
      </c>
      <c r="J393" s="1" t="s">
        <v>4758</v>
      </c>
      <c r="K393" s="17"/>
      <c r="L393" s="80">
        <v>0.2114</v>
      </c>
      <c r="M393" s="15"/>
      <c r="N393" s="15"/>
      <c r="O393" s="15">
        <v>445.96</v>
      </c>
      <c r="P393" s="15"/>
      <c r="Q393" s="15"/>
      <c r="R393" s="15"/>
      <c r="S393" s="15"/>
      <c r="T393" s="15"/>
      <c r="U393" s="15"/>
      <c r="V393" s="15"/>
      <c r="W393" s="92" t="s">
        <v>1736</v>
      </c>
    </row>
    <row r="394" spans="1:24" s="79" customFormat="1" ht="38.25" x14ac:dyDescent="0.2">
      <c r="A394" s="1" t="s">
        <v>28</v>
      </c>
      <c r="B394" s="2" t="s">
        <v>29</v>
      </c>
      <c r="C394" s="2" t="s">
        <v>30</v>
      </c>
      <c r="D394" s="2" t="s">
        <v>31</v>
      </c>
      <c r="E394" s="2">
        <v>2023</v>
      </c>
      <c r="F394" s="2" t="s">
        <v>221</v>
      </c>
      <c r="G394" s="2" t="s">
        <v>3093</v>
      </c>
      <c r="H394" s="2" t="s">
        <v>3092</v>
      </c>
      <c r="I394" s="1" t="s">
        <v>14</v>
      </c>
      <c r="J394" s="1" t="s">
        <v>4759</v>
      </c>
      <c r="K394" s="17"/>
      <c r="L394" s="54">
        <v>0.19</v>
      </c>
      <c r="M394" s="39"/>
      <c r="N394" s="39"/>
      <c r="O394" s="39">
        <v>518.23</v>
      </c>
      <c r="P394" s="39"/>
      <c r="Q394" s="39"/>
      <c r="R394" s="39"/>
      <c r="S394" s="39"/>
      <c r="T394" s="39"/>
      <c r="U394" s="39"/>
      <c r="V394" s="39"/>
      <c r="W394" s="92" t="s">
        <v>1736</v>
      </c>
    </row>
    <row r="395" spans="1:24" s="79" customFormat="1" ht="38.25" x14ac:dyDescent="0.2">
      <c r="A395" s="1" t="s">
        <v>28</v>
      </c>
      <c r="B395" s="2" t="s">
        <v>29</v>
      </c>
      <c r="C395" s="2" t="s">
        <v>30</v>
      </c>
      <c r="D395" s="2" t="s">
        <v>31</v>
      </c>
      <c r="E395" s="2">
        <v>2023</v>
      </c>
      <c r="F395" s="2" t="s">
        <v>256</v>
      </c>
      <c r="G395" s="2" t="s">
        <v>3093</v>
      </c>
      <c r="H395" s="2" t="s">
        <v>3092</v>
      </c>
      <c r="I395" s="1" t="s">
        <v>14</v>
      </c>
      <c r="J395" s="1" t="s">
        <v>4760</v>
      </c>
      <c r="K395" s="17"/>
      <c r="L395" s="54">
        <v>0.17399999999999999</v>
      </c>
      <c r="M395" s="39"/>
      <c r="N395" s="39"/>
      <c r="O395" s="39">
        <v>477.8</v>
      </c>
      <c r="P395" s="39"/>
      <c r="Q395" s="39"/>
      <c r="R395" s="39"/>
      <c r="S395" s="39"/>
      <c r="T395" s="39"/>
      <c r="U395" s="39"/>
      <c r="V395" s="39"/>
      <c r="W395" s="92" t="s">
        <v>1736</v>
      </c>
    </row>
    <row r="396" spans="1:24" s="79" customFormat="1" ht="38.25" x14ac:dyDescent="0.2">
      <c r="A396" s="1" t="s">
        <v>28</v>
      </c>
      <c r="B396" s="2" t="s">
        <v>29</v>
      </c>
      <c r="C396" s="2" t="s">
        <v>30</v>
      </c>
      <c r="D396" s="2" t="s">
        <v>31</v>
      </c>
      <c r="E396" s="2">
        <v>2023</v>
      </c>
      <c r="F396" s="2" t="s">
        <v>276</v>
      </c>
      <c r="G396" s="2" t="s">
        <v>3093</v>
      </c>
      <c r="H396" s="2" t="s">
        <v>3092</v>
      </c>
      <c r="I396" s="1" t="s">
        <v>14</v>
      </c>
      <c r="J396" s="1" t="s">
        <v>4761</v>
      </c>
      <c r="K396" s="17"/>
      <c r="L396" s="54">
        <v>0.19400000000000001</v>
      </c>
      <c r="M396" s="15"/>
      <c r="N396" s="15"/>
      <c r="O396" s="15">
        <v>518</v>
      </c>
      <c r="P396" s="15"/>
      <c r="Q396" s="15"/>
      <c r="R396" s="15"/>
      <c r="S396" s="15"/>
      <c r="T396" s="6"/>
      <c r="U396" s="15"/>
      <c r="V396" s="15"/>
      <c r="W396" s="92" t="s">
        <v>1736</v>
      </c>
    </row>
    <row r="397" spans="1:24" s="79" customFormat="1" ht="38.25" x14ac:dyDescent="0.2">
      <c r="A397" s="1" t="s">
        <v>28</v>
      </c>
      <c r="B397" s="2" t="s">
        <v>29</v>
      </c>
      <c r="C397" s="2" t="s">
        <v>30</v>
      </c>
      <c r="D397" s="2" t="s">
        <v>31</v>
      </c>
      <c r="E397" s="2">
        <v>2023</v>
      </c>
      <c r="F397" s="2" t="s">
        <v>291</v>
      </c>
      <c r="G397" s="2" t="s">
        <v>3093</v>
      </c>
      <c r="H397" s="2" t="s">
        <v>3092</v>
      </c>
      <c r="I397" s="1" t="s">
        <v>14</v>
      </c>
      <c r="J397" s="1" t="s">
        <v>4762</v>
      </c>
      <c r="K397" s="17"/>
      <c r="L397" s="54">
        <v>0.191</v>
      </c>
      <c r="M397" s="39"/>
      <c r="N397" s="39"/>
      <c r="O397" s="39">
        <v>583.77</v>
      </c>
      <c r="P397" s="39"/>
      <c r="Q397" s="39"/>
      <c r="R397" s="39"/>
      <c r="S397" s="39"/>
      <c r="T397" s="39"/>
      <c r="U397" s="39"/>
      <c r="V397" s="39"/>
      <c r="W397" s="92" t="s">
        <v>1736</v>
      </c>
    </row>
    <row r="398" spans="1:24" s="79" customFormat="1" ht="38.25" x14ac:dyDescent="0.2">
      <c r="A398" s="1" t="s">
        <v>28</v>
      </c>
      <c r="B398" s="2" t="s">
        <v>29</v>
      </c>
      <c r="C398" s="2" t="s">
        <v>30</v>
      </c>
      <c r="D398" s="2" t="s">
        <v>31</v>
      </c>
      <c r="E398" s="2">
        <v>2023</v>
      </c>
      <c r="F398" s="2" t="s">
        <v>311</v>
      </c>
      <c r="G398" s="2" t="s">
        <v>3093</v>
      </c>
      <c r="H398" s="2" t="s">
        <v>3092</v>
      </c>
      <c r="I398" s="1" t="s">
        <v>14</v>
      </c>
      <c r="J398" s="1" t="s">
        <v>4763</v>
      </c>
      <c r="K398" s="17"/>
      <c r="L398" s="54">
        <v>0.18099999999999999</v>
      </c>
      <c r="M398" s="39"/>
      <c r="N398" s="39"/>
      <c r="O398" s="39">
        <v>509.86</v>
      </c>
      <c r="P398" s="39"/>
      <c r="Q398" s="39"/>
      <c r="R398" s="39"/>
      <c r="S398" s="39"/>
      <c r="T398" s="39"/>
      <c r="U398" s="39"/>
      <c r="V398" s="39"/>
      <c r="W398" s="92" t="s">
        <v>1736</v>
      </c>
    </row>
    <row r="399" spans="1:24" s="79" customFormat="1" ht="38.25" x14ac:dyDescent="0.2">
      <c r="A399" s="1" t="s">
        <v>28</v>
      </c>
      <c r="B399" s="2" t="s">
        <v>29</v>
      </c>
      <c r="C399" s="2" t="s">
        <v>30</v>
      </c>
      <c r="D399" s="2" t="s">
        <v>31</v>
      </c>
      <c r="E399" s="2">
        <v>2023</v>
      </c>
      <c r="F399" s="2" t="s">
        <v>337</v>
      </c>
      <c r="G399" s="2" t="s">
        <v>3093</v>
      </c>
      <c r="H399" s="2" t="s">
        <v>3092</v>
      </c>
      <c r="I399" s="1" t="s">
        <v>14</v>
      </c>
      <c r="J399" s="1" t="s">
        <v>4764</v>
      </c>
      <c r="K399" s="17"/>
      <c r="L399" s="54">
        <v>0.184</v>
      </c>
      <c r="M399" s="39"/>
      <c r="N399" s="39"/>
      <c r="O399" s="39">
        <v>519.05999999999995</v>
      </c>
      <c r="P399" s="39"/>
      <c r="Q399" s="39"/>
      <c r="R399" s="39"/>
      <c r="S399" s="39"/>
      <c r="T399" s="39"/>
      <c r="U399" s="39"/>
      <c r="V399" s="39"/>
      <c r="W399" s="92" t="s">
        <v>1736</v>
      </c>
    </row>
    <row r="400" spans="1:24" s="79" customFormat="1" ht="38.25" x14ac:dyDescent="0.2">
      <c r="A400" s="1" t="s">
        <v>28</v>
      </c>
      <c r="B400" s="2" t="s">
        <v>29</v>
      </c>
      <c r="C400" s="2" t="s">
        <v>30</v>
      </c>
      <c r="D400" s="2" t="s">
        <v>31</v>
      </c>
      <c r="E400" s="2">
        <v>2023</v>
      </c>
      <c r="F400" s="2" t="s">
        <v>364</v>
      </c>
      <c r="G400" s="2" t="s">
        <v>3093</v>
      </c>
      <c r="H400" s="2" t="s">
        <v>3092</v>
      </c>
      <c r="I400" s="1" t="s">
        <v>14</v>
      </c>
      <c r="J400" s="1" t="s">
        <v>4765</v>
      </c>
      <c r="K400" s="17"/>
      <c r="L400" s="54">
        <v>0.184</v>
      </c>
      <c r="M400" s="39"/>
      <c r="N400" s="39"/>
      <c r="O400" s="3">
        <v>635.53</v>
      </c>
      <c r="P400" s="39"/>
      <c r="Q400" s="39"/>
      <c r="R400" s="39"/>
      <c r="S400" s="39"/>
      <c r="T400" s="39"/>
      <c r="U400" s="39"/>
      <c r="V400" s="39"/>
      <c r="W400" s="92" t="s">
        <v>1736</v>
      </c>
    </row>
    <row r="401" spans="1:24" s="79" customFormat="1" ht="38.25" x14ac:dyDescent="0.2">
      <c r="A401" s="1" t="s">
        <v>28</v>
      </c>
      <c r="B401" s="2" t="s">
        <v>29</v>
      </c>
      <c r="C401" s="2" t="s">
        <v>30</v>
      </c>
      <c r="D401" s="2" t="s">
        <v>31</v>
      </c>
      <c r="E401" s="2">
        <v>2023</v>
      </c>
      <c r="F401" s="2" t="s">
        <v>388</v>
      </c>
      <c r="G401" s="2" t="s">
        <v>3093</v>
      </c>
      <c r="H401" s="2" t="s">
        <v>3092</v>
      </c>
      <c r="I401" s="1" t="s">
        <v>14</v>
      </c>
      <c r="J401" s="1" t="s">
        <v>4766</v>
      </c>
      <c r="K401" s="17"/>
      <c r="L401" s="54">
        <v>0.18229999999999999</v>
      </c>
      <c r="M401" s="39"/>
      <c r="N401" s="39"/>
      <c r="O401" s="3">
        <v>535.17999999999995</v>
      </c>
      <c r="P401" s="39"/>
      <c r="Q401" s="39"/>
      <c r="R401" s="39"/>
      <c r="S401" s="39"/>
      <c r="T401" s="39"/>
      <c r="U401" s="39"/>
      <c r="V401" s="39"/>
      <c r="W401" s="92" t="s">
        <v>1736</v>
      </c>
    </row>
    <row r="402" spans="1:24" s="79" customFormat="1" ht="89.25" x14ac:dyDescent="0.2">
      <c r="A402" s="1" t="s">
        <v>389</v>
      </c>
      <c r="B402" s="2" t="s">
        <v>196</v>
      </c>
      <c r="C402" s="2" t="s">
        <v>30</v>
      </c>
      <c r="D402" s="2" t="s">
        <v>31</v>
      </c>
      <c r="E402" s="2">
        <v>2023</v>
      </c>
      <c r="F402" s="2" t="s">
        <v>291</v>
      </c>
      <c r="G402" s="2" t="s">
        <v>3092</v>
      </c>
      <c r="H402" s="2" t="s">
        <v>3092</v>
      </c>
      <c r="I402" s="1" t="s">
        <v>4767</v>
      </c>
      <c r="J402" s="1" t="s">
        <v>4768</v>
      </c>
      <c r="K402" s="17"/>
      <c r="L402" s="54">
        <v>0.29499999999999998</v>
      </c>
      <c r="M402" s="39"/>
      <c r="N402" s="39"/>
      <c r="O402" s="39">
        <v>604</v>
      </c>
      <c r="P402" s="39"/>
      <c r="Q402" s="39"/>
      <c r="R402" s="39"/>
      <c r="S402" s="39"/>
      <c r="T402" s="39"/>
      <c r="U402" s="39"/>
      <c r="V402" s="39"/>
      <c r="W402" s="92" t="s">
        <v>1743</v>
      </c>
    </row>
    <row r="403" spans="1:24" s="79" customFormat="1" ht="25.5" x14ac:dyDescent="0.2">
      <c r="A403" s="1" t="s">
        <v>446</v>
      </c>
      <c r="B403" s="2" t="s">
        <v>196</v>
      </c>
      <c r="C403" s="2" t="s">
        <v>30</v>
      </c>
      <c r="D403" s="2" t="s">
        <v>31</v>
      </c>
      <c r="E403" s="2">
        <v>2023</v>
      </c>
      <c r="F403" s="2" t="s">
        <v>337</v>
      </c>
      <c r="G403" s="2" t="s">
        <v>3092</v>
      </c>
      <c r="H403" s="2" t="s">
        <v>3092</v>
      </c>
      <c r="I403" s="1" t="s">
        <v>4769</v>
      </c>
      <c r="J403" s="1" t="s">
        <v>4769</v>
      </c>
      <c r="K403" s="17"/>
      <c r="L403" s="54"/>
      <c r="M403" s="39"/>
      <c r="N403" s="39"/>
      <c r="O403" s="39"/>
      <c r="P403" s="39"/>
      <c r="Q403" s="39"/>
      <c r="R403" s="39"/>
      <c r="S403" s="39"/>
      <c r="T403" s="39"/>
      <c r="U403" s="39"/>
      <c r="V403" s="39"/>
      <c r="W403" s="92" t="s">
        <v>1683</v>
      </c>
    </row>
    <row r="404" spans="1:24" s="79" customFormat="1" ht="51" x14ac:dyDescent="0.2">
      <c r="A404" s="1" t="s">
        <v>446</v>
      </c>
      <c r="B404" s="2" t="s">
        <v>196</v>
      </c>
      <c r="C404" s="2" t="s">
        <v>30</v>
      </c>
      <c r="D404" s="2" t="s">
        <v>31</v>
      </c>
      <c r="E404" s="2">
        <v>2023</v>
      </c>
      <c r="F404" s="2" t="s">
        <v>364</v>
      </c>
      <c r="G404" s="2" t="s">
        <v>3092</v>
      </c>
      <c r="H404" s="2" t="s">
        <v>3092</v>
      </c>
      <c r="I404" s="1" t="s">
        <v>4770</v>
      </c>
      <c r="J404" s="1" t="s">
        <v>4770</v>
      </c>
      <c r="K404" s="17"/>
      <c r="L404" s="80"/>
      <c r="M404" s="15"/>
      <c r="N404" s="15"/>
      <c r="O404" s="15"/>
      <c r="P404" s="15"/>
      <c r="Q404" s="15"/>
      <c r="R404" s="15"/>
      <c r="S404" s="15"/>
      <c r="T404" s="15"/>
      <c r="U404" s="15"/>
      <c r="V404" s="15"/>
      <c r="W404" s="92" t="s">
        <v>1683</v>
      </c>
    </row>
    <row r="405" spans="1:24" s="79" customFormat="1" ht="25.5" x14ac:dyDescent="0.2">
      <c r="A405" s="1" t="s">
        <v>4771</v>
      </c>
      <c r="B405" s="2" t="s">
        <v>277</v>
      </c>
      <c r="C405" s="2" t="s">
        <v>30</v>
      </c>
      <c r="D405" s="2" t="s">
        <v>31</v>
      </c>
      <c r="E405" s="2">
        <v>2023</v>
      </c>
      <c r="F405" s="2" t="s">
        <v>188</v>
      </c>
      <c r="G405" s="2" t="s">
        <v>3092</v>
      </c>
      <c r="H405" s="2" t="s">
        <v>3092</v>
      </c>
      <c r="I405" s="1" t="s">
        <v>4772</v>
      </c>
      <c r="J405" s="1" t="s">
        <v>4773</v>
      </c>
      <c r="K405" s="17"/>
      <c r="L405" s="54"/>
      <c r="M405" s="39"/>
      <c r="N405" s="39"/>
      <c r="O405" s="39"/>
      <c r="P405" s="39"/>
      <c r="Q405" s="39"/>
      <c r="R405" s="39"/>
      <c r="S405" s="39"/>
      <c r="T405" s="39"/>
      <c r="U405" s="39"/>
      <c r="V405" s="39"/>
      <c r="W405" s="92" t="s">
        <v>4774</v>
      </c>
    </row>
    <row r="406" spans="1:24" s="79" customFormat="1" ht="25.5" x14ac:dyDescent="0.2">
      <c r="A406" s="1" t="s">
        <v>122</v>
      </c>
      <c r="B406" s="2" t="s">
        <v>10</v>
      </c>
      <c r="C406" s="2" t="s">
        <v>123</v>
      </c>
      <c r="D406" s="2" t="s">
        <v>124</v>
      </c>
      <c r="E406" s="2">
        <v>2023</v>
      </c>
      <c r="F406" s="2" t="s">
        <v>203</v>
      </c>
      <c r="G406" s="2" t="s">
        <v>3095</v>
      </c>
      <c r="H406" s="2" t="s">
        <v>3092</v>
      </c>
      <c r="I406" s="1" t="s">
        <v>14</v>
      </c>
      <c r="J406" s="1" t="s">
        <v>4775</v>
      </c>
      <c r="K406" s="17"/>
      <c r="L406" s="54"/>
      <c r="M406" s="39"/>
      <c r="N406" s="39"/>
      <c r="O406" s="39"/>
      <c r="P406" s="39"/>
      <c r="Q406" s="39"/>
      <c r="R406" s="39"/>
      <c r="S406" s="39"/>
      <c r="T406" s="39"/>
      <c r="U406" s="39"/>
      <c r="V406" s="39"/>
      <c r="W406" s="92" t="s">
        <v>1735</v>
      </c>
    </row>
    <row r="407" spans="1:24" s="79" customFormat="1" ht="25.5" x14ac:dyDescent="0.2">
      <c r="A407" s="1" t="s">
        <v>122</v>
      </c>
      <c r="B407" s="2" t="s">
        <v>10</v>
      </c>
      <c r="C407" s="2" t="s">
        <v>123</v>
      </c>
      <c r="D407" s="2" t="s">
        <v>124</v>
      </c>
      <c r="E407" s="2">
        <v>2023</v>
      </c>
      <c r="F407" s="2" t="s">
        <v>211</v>
      </c>
      <c r="G407" s="2" t="s">
        <v>3095</v>
      </c>
      <c r="H407" s="2" t="s">
        <v>3092</v>
      </c>
      <c r="I407" s="1" t="s">
        <v>14</v>
      </c>
      <c r="J407" s="1" t="s">
        <v>4776</v>
      </c>
      <c r="K407" s="17"/>
      <c r="L407" s="54"/>
      <c r="M407" s="39"/>
      <c r="N407" s="39"/>
      <c r="O407" s="39"/>
      <c r="P407" s="39"/>
      <c r="Q407" s="39"/>
      <c r="R407" s="39"/>
      <c r="S407" s="39"/>
      <c r="T407" s="39"/>
      <c r="U407" s="39"/>
      <c r="V407" s="39"/>
      <c r="W407" s="92" t="s">
        <v>1735</v>
      </c>
    </row>
    <row r="408" spans="1:24" s="79" customFormat="1" ht="25.5" x14ac:dyDescent="0.2">
      <c r="A408" s="1" t="s">
        <v>122</v>
      </c>
      <c r="B408" s="2" t="s">
        <v>10</v>
      </c>
      <c r="C408" s="2" t="s">
        <v>123</v>
      </c>
      <c r="D408" s="2" t="s">
        <v>124</v>
      </c>
      <c r="E408" s="2">
        <v>2023</v>
      </c>
      <c r="F408" s="2" t="s">
        <v>221</v>
      </c>
      <c r="G408" s="2" t="s">
        <v>3095</v>
      </c>
      <c r="H408" s="2" t="s">
        <v>3092</v>
      </c>
      <c r="I408" s="1" t="s">
        <v>14</v>
      </c>
      <c r="J408" s="1" t="s">
        <v>4777</v>
      </c>
      <c r="K408" s="17"/>
      <c r="L408" s="80"/>
      <c r="M408" s="15"/>
      <c r="N408" s="15"/>
      <c r="O408" s="15"/>
      <c r="P408" s="15"/>
      <c r="Q408" s="15"/>
      <c r="R408" s="15"/>
      <c r="S408" s="15"/>
      <c r="T408" s="15"/>
      <c r="U408" s="15"/>
      <c r="V408" s="15"/>
      <c r="W408" s="92" t="s">
        <v>1735</v>
      </c>
    </row>
    <row r="409" spans="1:24" s="79" customFormat="1" ht="25.5" x14ac:dyDescent="0.2">
      <c r="A409" s="1" t="s">
        <v>122</v>
      </c>
      <c r="B409" s="2" t="s">
        <v>10</v>
      </c>
      <c r="C409" s="2" t="s">
        <v>123</v>
      </c>
      <c r="D409" s="2" t="s">
        <v>124</v>
      </c>
      <c r="E409" s="2">
        <v>2023</v>
      </c>
      <c r="F409" s="2" t="s">
        <v>256</v>
      </c>
      <c r="G409" s="2" t="s">
        <v>3095</v>
      </c>
      <c r="H409" s="2" t="s">
        <v>3092</v>
      </c>
      <c r="I409" s="1" t="s">
        <v>14</v>
      </c>
      <c r="J409" s="1" t="s">
        <v>4777</v>
      </c>
      <c r="K409" s="17"/>
      <c r="L409" s="54"/>
      <c r="M409" s="39"/>
      <c r="N409" s="39"/>
      <c r="O409" s="39"/>
      <c r="P409" s="39"/>
      <c r="Q409" s="39"/>
      <c r="R409" s="39"/>
      <c r="S409" s="39"/>
      <c r="T409" s="39"/>
      <c r="U409" s="39"/>
      <c r="V409" s="39"/>
      <c r="W409" s="92" t="s">
        <v>1735</v>
      </c>
    </row>
    <row r="410" spans="1:24" s="79" customFormat="1" ht="25.5" x14ac:dyDescent="0.2">
      <c r="A410" s="1" t="s">
        <v>122</v>
      </c>
      <c r="B410" s="2" t="s">
        <v>10</v>
      </c>
      <c r="C410" s="2" t="s">
        <v>123</v>
      </c>
      <c r="D410" s="2" t="s">
        <v>124</v>
      </c>
      <c r="E410" s="2">
        <v>2023</v>
      </c>
      <c r="F410" s="2" t="s">
        <v>276</v>
      </c>
      <c r="G410" s="2" t="s">
        <v>3095</v>
      </c>
      <c r="H410" s="2" t="s">
        <v>3092</v>
      </c>
      <c r="I410" s="1" t="s">
        <v>14</v>
      </c>
      <c r="J410" s="1" t="s">
        <v>4777</v>
      </c>
      <c r="K410" s="17"/>
      <c r="L410" s="54"/>
      <c r="M410" s="39"/>
      <c r="N410" s="39"/>
      <c r="O410" s="39"/>
      <c r="P410" s="39"/>
      <c r="Q410" s="39"/>
      <c r="R410" s="39"/>
      <c r="S410" s="39"/>
      <c r="T410" s="14"/>
      <c r="U410" s="39"/>
      <c r="V410" s="39"/>
      <c r="W410" s="92" t="s">
        <v>1735</v>
      </c>
    </row>
    <row r="411" spans="1:24" s="79" customFormat="1" ht="25.5" x14ac:dyDescent="0.2">
      <c r="A411" s="1" t="s">
        <v>122</v>
      </c>
      <c r="B411" s="2" t="s">
        <v>10</v>
      </c>
      <c r="C411" s="2" t="s">
        <v>123</v>
      </c>
      <c r="D411" s="2" t="s">
        <v>124</v>
      </c>
      <c r="E411" s="2">
        <v>2023</v>
      </c>
      <c r="F411" s="2" t="s">
        <v>291</v>
      </c>
      <c r="G411" s="2" t="s">
        <v>3095</v>
      </c>
      <c r="H411" s="2" t="s">
        <v>3092</v>
      </c>
      <c r="I411" s="1" t="s">
        <v>14</v>
      </c>
      <c r="J411" s="1" t="s">
        <v>4777</v>
      </c>
      <c r="K411" s="17"/>
      <c r="L411" s="54"/>
      <c r="M411" s="39"/>
      <c r="N411" s="39"/>
      <c r="O411" s="39"/>
      <c r="P411" s="39"/>
      <c r="Q411" s="39"/>
      <c r="R411" s="39"/>
      <c r="S411" s="39"/>
      <c r="T411" s="39"/>
      <c r="U411" s="39"/>
      <c r="V411" s="39"/>
      <c r="W411" s="92" t="s">
        <v>1735</v>
      </c>
    </row>
    <row r="412" spans="1:24" s="79" customFormat="1" ht="25.5" x14ac:dyDescent="0.2">
      <c r="A412" s="1" t="s">
        <v>122</v>
      </c>
      <c r="B412" s="2" t="s">
        <v>10</v>
      </c>
      <c r="C412" s="2" t="s">
        <v>123</v>
      </c>
      <c r="D412" s="2" t="s">
        <v>124</v>
      </c>
      <c r="E412" s="2">
        <v>2023</v>
      </c>
      <c r="F412" s="2" t="s">
        <v>311</v>
      </c>
      <c r="G412" s="2" t="s">
        <v>3095</v>
      </c>
      <c r="H412" s="2" t="s">
        <v>3092</v>
      </c>
      <c r="I412" s="1" t="s">
        <v>14</v>
      </c>
      <c r="J412" s="1" t="s">
        <v>4778</v>
      </c>
      <c r="K412" s="17"/>
      <c r="L412" s="54"/>
      <c r="M412" s="39"/>
      <c r="N412" s="39"/>
      <c r="O412" s="39"/>
      <c r="P412" s="39"/>
      <c r="Q412" s="39"/>
      <c r="R412" s="39"/>
      <c r="S412" s="39"/>
      <c r="T412" s="39"/>
      <c r="U412" s="39"/>
      <c r="V412" s="39"/>
      <c r="W412" s="92" t="s">
        <v>1735</v>
      </c>
    </row>
    <row r="413" spans="1:24" s="79" customFormat="1" ht="25.5" x14ac:dyDescent="0.2">
      <c r="A413" s="1" t="s">
        <v>122</v>
      </c>
      <c r="B413" s="2" t="s">
        <v>10</v>
      </c>
      <c r="C413" s="2" t="s">
        <v>123</v>
      </c>
      <c r="D413" s="2" t="s">
        <v>124</v>
      </c>
      <c r="E413" s="2">
        <v>2023</v>
      </c>
      <c r="F413" s="2" t="s">
        <v>337</v>
      </c>
      <c r="G413" s="2" t="s">
        <v>3095</v>
      </c>
      <c r="H413" s="2" t="s">
        <v>3092</v>
      </c>
      <c r="I413" s="1" t="s">
        <v>14</v>
      </c>
      <c r="J413" s="1" t="s">
        <v>4779</v>
      </c>
      <c r="K413" s="17"/>
      <c r="L413" s="54"/>
      <c r="M413" s="39"/>
      <c r="N413" s="39"/>
      <c r="O413" s="39"/>
      <c r="P413" s="39"/>
      <c r="Q413" s="39"/>
      <c r="R413" s="39"/>
      <c r="S413" s="39"/>
      <c r="T413" s="39"/>
      <c r="U413" s="39"/>
      <c r="V413" s="39"/>
      <c r="W413" s="92" t="s">
        <v>1735</v>
      </c>
    </row>
    <row r="414" spans="1:24" s="79" customFormat="1" ht="25.5" x14ac:dyDescent="0.2">
      <c r="A414" s="1" t="s">
        <v>122</v>
      </c>
      <c r="B414" s="2" t="s">
        <v>10</v>
      </c>
      <c r="C414" s="2" t="s">
        <v>123</v>
      </c>
      <c r="D414" s="2" t="s">
        <v>124</v>
      </c>
      <c r="E414" s="2">
        <v>2023</v>
      </c>
      <c r="F414" s="2" t="s">
        <v>364</v>
      </c>
      <c r="G414" s="2" t="s">
        <v>3095</v>
      </c>
      <c r="H414" s="2" t="s">
        <v>3092</v>
      </c>
      <c r="I414" s="1" t="s">
        <v>14</v>
      </c>
      <c r="J414" s="1" t="s">
        <v>4780</v>
      </c>
      <c r="K414" s="17"/>
      <c r="L414" s="54"/>
      <c r="M414" s="39"/>
      <c r="N414" s="39"/>
      <c r="O414" s="39"/>
      <c r="P414" s="39"/>
      <c r="Q414" s="39"/>
      <c r="R414" s="39"/>
      <c r="S414" s="39"/>
      <c r="T414" s="39"/>
      <c r="U414" s="39"/>
      <c r="V414" s="39"/>
      <c r="W414" s="92" t="s">
        <v>1735</v>
      </c>
    </row>
    <row r="415" spans="1:24" s="79" customFormat="1" ht="25.5" x14ac:dyDescent="0.2">
      <c r="A415" s="1" t="s">
        <v>122</v>
      </c>
      <c r="B415" s="2" t="s">
        <v>10</v>
      </c>
      <c r="C415" s="2" t="s">
        <v>123</v>
      </c>
      <c r="D415" s="2" t="s">
        <v>124</v>
      </c>
      <c r="E415" s="2">
        <v>2023</v>
      </c>
      <c r="F415" s="2" t="s">
        <v>388</v>
      </c>
      <c r="G415" s="2" t="s">
        <v>3095</v>
      </c>
      <c r="H415" s="2" t="s">
        <v>3092</v>
      </c>
      <c r="I415" s="1" t="s">
        <v>14</v>
      </c>
      <c r="J415" s="1" t="s">
        <v>4781</v>
      </c>
      <c r="K415" s="17"/>
      <c r="L415" s="58"/>
      <c r="M415" s="59"/>
      <c r="N415" s="59"/>
      <c r="O415" s="59"/>
      <c r="P415" s="59"/>
      <c r="Q415" s="59"/>
      <c r="R415" s="59"/>
      <c r="S415" s="59"/>
      <c r="T415" s="59"/>
      <c r="U415" s="59"/>
      <c r="V415" s="59"/>
      <c r="W415" s="92" t="s">
        <v>1735</v>
      </c>
      <c r="X415"/>
    </row>
    <row r="416" spans="1:24" s="79" customFormat="1" ht="25.5" x14ac:dyDescent="0.2">
      <c r="A416" s="1" t="s">
        <v>56</v>
      </c>
      <c r="B416" s="2" t="s">
        <v>24</v>
      </c>
      <c r="C416" s="2" t="s">
        <v>57</v>
      </c>
      <c r="D416" s="2" t="s">
        <v>58</v>
      </c>
      <c r="E416" s="2">
        <v>2023</v>
      </c>
      <c r="F416" s="2" t="s">
        <v>13</v>
      </c>
      <c r="G416" s="2" t="s">
        <v>3095</v>
      </c>
      <c r="H416" s="2" t="s">
        <v>3092</v>
      </c>
      <c r="I416" s="1" t="s">
        <v>14</v>
      </c>
      <c r="J416" s="1" t="s">
        <v>4782</v>
      </c>
      <c r="K416" s="17"/>
      <c r="L416" s="54">
        <v>0.22</v>
      </c>
      <c r="M416" s="39"/>
      <c r="N416" s="39"/>
      <c r="O416" s="39">
        <v>129.34</v>
      </c>
      <c r="P416" s="39"/>
      <c r="Q416" s="39"/>
      <c r="R416" s="39"/>
      <c r="S416" s="39"/>
      <c r="T416" s="39"/>
      <c r="U416" s="39"/>
      <c r="V416" s="39"/>
      <c r="W416" s="92"/>
    </row>
    <row r="417" spans="1:23" s="79" customFormat="1" ht="25.5" x14ac:dyDescent="0.2">
      <c r="A417" s="1" t="s">
        <v>56</v>
      </c>
      <c r="B417" s="2" t="s">
        <v>24</v>
      </c>
      <c r="C417" s="2" t="s">
        <v>57</v>
      </c>
      <c r="D417" s="2" t="s">
        <v>58</v>
      </c>
      <c r="E417" s="2">
        <v>2023</v>
      </c>
      <c r="F417" s="2" t="s">
        <v>188</v>
      </c>
      <c r="G417" s="2" t="s">
        <v>3095</v>
      </c>
      <c r="H417" s="2" t="s">
        <v>3092</v>
      </c>
      <c r="I417" s="1" t="s">
        <v>14</v>
      </c>
      <c r="J417" s="1" t="s">
        <v>4783</v>
      </c>
      <c r="K417" s="17"/>
      <c r="L417" s="54">
        <v>0.21</v>
      </c>
      <c r="M417" s="39"/>
      <c r="N417" s="39"/>
      <c r="O417" s="39">
        <v>113.45</v>
      </c>
      <c r="P417" s="39"/>
      <c r="Q417" s="39"/>
      <c r="R417" s="39"/>
      <c r="S417" s="39"/>
      <c r="T417" s="39"/>
      <c r="U417" s="39"/>
      <c r="V417" s="39"/>
      <c r="W417" s="92"/>
    </row>
    <row r="418" spans="1:23" s="79" customFormat="1" ht="25.5" x14ac:dyDescent="0.2">
      <c r="A418" s="1" t="s">
        <v>56</v>
      </c>
      <c r="B418" s="2" t="s">
        <v>24</v>
      </c>
      <c r="C418" s="2" t="s">
        <v>57</v>
      </c>
      <c r="D418" s="2" t="s">
        <v>58</v>
      </c>
      <c r="E418" s="2">
        <v>2023</v>
      </c>
      <c r="F418" s="2" t="s">
        <v>203</v>
      </c>
      <c r="G418" s="2" t="s">
        <v>3095</v>
      </c>
      <c r="H418" s="2" t="s">
        <v>3092</v>
      </c>
      <c r="I418" s="1" t="s">
        <v>14</v>
      </c>
      <c r="J418" s="1" t="s">
        <v>4784</v>
      </c>
      <c r="K418" s="17"/>
      <c r="L418" s="54">
        <v>0.21</v>
      </c>
      <c r="M418" s="39"/>
      <c r="N418" s="39"/>
      <c r="O418" s="39">
        <v>117.72</v>
      </c>
      <c r="P418" s="39"/>
      <c r="Q418" s="39"/>
      <c r="R418" s="39"/>
      <c r="S418" s="39"/>
      <c r="T418" s="39"/>
      <c r="U418" s="39"/>
      <c r="V418" s="39"/>
      <c r="W418" s="92"/>
    </row>
    <row r="419" spans="1:23" s="79" customFormat="1" ht="25.5" x14ac:dyDescent="0.2">
      <c r="A419" s="1" t="s">
        <v>56</v>
      </c>
      <c r="B419" s="2" t="s">
        <v>24</v>
      </c>
      <c r="C419" s="2" t="s">
        <v>57</v>
      </c>
      <c r="D419" s="2" t="s">
        <v>58</v>
      </c>
      <c r="E419" s="2">
        <v>2023</v>
      </c>
      <c r="F419" s="2" t="s">
        <v>211</v>
      </c>
      <c r="G419" s="2" t="s">
        <v>3095</v>
      </c>
      <c r="H419" s="2" t="s">
        <v>3092</v>
      </c>
      <c r="I419" s="1" t="s">
        <v>14</v>
      </c>
      <c r="J419" s="1" t="s">
        <v>4785</v>
      </c>
      <c r="K419" s="17"/>
      <c r="L419" s="54">
        <v>0.22</v>
      </c>
      <c r="M419" s="39"/>
      <c r="N419" s="39"/>
      <c r="O419" s="39">
        <v>96.98</v>
      </c>
      <c r="P419" s="39"/>
      <c r="Q419" s="39"/>
      <c r="R419" s="39"/>
      <c r="S419" s="39"/>
      <c r="T419" s="39"/>
      <c r="U419" s="39"/>
      <c r="V419" s="39"/>
      <c r="W419" s="92"/>
    </row>
    <row r="420" spans="1:23" s="79" customFormat="1" ht="25.5" x14ac:dyDescent="0.2">
      <c r="A420" s="1" t="s">
        <v>56</v>
      </c>
      <c r="B420" s="2" t="s">
        <v>24</v>
      </c>
      <c r="C420" s="2" t="s">
        <v>57</v>
      </c>
      <c r="D420" s="2" t="s">
        <v>58</v>
      </c>
      <c r="E420" s="2">
        <v>2023</v>
      </c>
      <c r="F420" s="2" t="s">
        <v>221</v>
      </c>
      <c r="G420" s="2" t="s">
        <v>3095</v>
      </c>
      <c r="H420" s="2" t="s">
        <v>3092</v>
      </c>
      <c r="I420" s="1" t="s">
        <v>14</v>
      </c>
      <c r="J420" s="1" t="s">
        <v>4786</v>
      </c>
      <c r="K420" s="17"/>
      <c r="L420" s="54">
        <v>0.22</v>
      </c>
      <c r="M420" s="39"/>
      <c r="N420" s="39"/>
      <c r="O420" s="39">
        <v>112.83</v>
      </c>
      <c r="P420" s="39"/>
      <c r="Q420" s="39"/>
      <c r="R420" s="39"/>
      <c r="S420" s="39"/>
      <c r="T420" s="39"/>
      <c r="U420" s="39"/>
      <c r="V420" s="39"/>
      <c r="W420" s="92"/>
    </row>
    <row r="421" spans="1:23" s="79" customFormat="1" ht="25.5" x14ac:dyDescent="0.2">
      <c r="A421" s="1" t="s">
        <v>56</v>
      </c>
      <c r="B421" s="2" t="s">
        <v>24</v>
      </c>
      <c r="C421" s="2" t="s">
        <v>57</v>
      </c>
      <c r="D421" s="2" t="s">
        <v>58</v>
      </c>
      <c r="E421" s="2">
        <v>2023</v>
      </c>
      <c r="F421" s="2" t="s">
        <v>256</v>
      </c>
      <c r="G421" s="2" t="s">
        <v>3095</v>
      </c>
      <c r="H421" s="2" t="s">
        <v>3092</v>
      </c>
      <c r="I421" s="1" t="s">
        <v>14</v>
      </c>
      <c r="J421" s="1" t="s">
        <v>4787</v>
      </c>
      <c r="K421" s="17"/>
      <c r="L421" s="54">
        <v>0.23</v>
      </c>
      <c r="M421" s="39"/>
      <c r="N421" s="39"/>
      <c r="O421" s="39">
        <v>117.33</v>
      </c>
      <c r="P421" s="39"/>
      <c r="Q421" s="39"/>
      <c r="R421" s="39"/>
      <c r="S421" s="39"/>
      <c r="T421" s="39"/>
      <c r="U421" s="39"/>
      <c r="V421" s="39"/>
      <c r="W421" s="92"/>
    </row>
    <row r="422" spans="1:23" s="79" customFormat="1" ht="25.5" x14ac:dyDescent="0.2">
      <c r="A422" s="1" t="s">
        <v>56</v>
      </c>
      <c r="B422" s="2" t="s">
        <v>24</v>
      </c>
      <c r="C422" s="2" t="s">
        <v>57</v>
      </c>
      <c r="D422" s="2" t="s">
        <v>58</v>
      </c>
      <c r="E422" s="2">
        <v>2023</v>
      </c>
      <c r="F422" s="2" t="s">
        <v>276</v>
      </c>
      <c r="G422" s="2" t="s">
        <v>3095</v>
      </c>
      <c r="H422" s="2" t="s">
        <v>3092</v>
      </c>
      <c r="I422" s="1" t="s">
        <v>14</v>
      </c>
      <c r="J422" s="1" t="s">
        <v>4788</v>
      </c>
      <c r="K422" s="17"/>
      <c r="L422" s="54">
        <v>0.22</v>
      </c>
      <c r="M422" s="39"/>
      <c r="N422" s="39"/>
      <c r="O422" s="39">
        <v>102.88</v>
      </c>
      <c r="P422" s="39"/>
      <c r="Q422" s="39"/>
      <c r="R422" s="39"/>
      <c r="S422" s="39"/>
      <c r="T422" s="39"/>
      <c r="U422" s="39"/>
      <c r="V422" s="39"/>
      <c r="W422" s="92"/>
    </row>
    <row r="423" spans="1:23" s="79" customFormat="1" ht="25.5" x14ac:dyDescent="0.2">
      <c r="A423" s="1" t="s">
        <v>56</v>
      </c>
      <c r="B423" s="2" t="s">
        <v>24</v>
      </c>
      <c r="C423" s="2" t="s">
        <v>57</v>
      </c>
      <c r="D423" s="2" t="s">
        <v>58</v>
      </c>
      <c r="E423" s="2">
        <v>2023</v>
      </c>
      <c r="F423" s="2" t="s">
        <v>291</v>
      </c>
      <c r="G423" s="2" t="s">
        <v>3095</v>
      </c>
      <c r="H423" s="2" t="s">
        <v>3092</v>
      </c>
      <c r="I423" s="1" t="s">
        <v>14</v>
      </c>
      <c r="J423" s="1" t="s">
        <v>4789</v>
      </c>
      <c r="K423" s="17"/>
      <c r="L423" s="54">
        <v>0.22</v>
      </c>
      <c r="M423" s="39"/>
      <c r="N423" s="39"/>
      <c r="O423" s="39">
        <v>108.6</v>
      </c>
      <c r="P423" s="39"/>
      <c r="Q423" s="39"/>
      <c r="R423" s="39"/>
      <c r="S423" s="39"/>
      <c r="T423" s="39"/>
      <c r="U423" s="39"/>
      <c r="V423" s="39"/>
      <c r="W423" s="92"/>
    </row>
    <row r="424" spans="1:23" s="79" customFormat="1" ht="25.5" x14ac:dyDescent="0.2">
      <c r="A424" s="1" t="s">
        <v>56</v>
      </c>
      <c r="B424" s="2" t="s">
        <v>24</v>
      </c>
      <c r="C424" s="2" t="s">
        <v>57</v>
      </c>
      <c r="D424" s="2" t="s">
        <v>58</v>
      </c>
      <c r="E424" s="2">
        <v>2023</v>
      </c>
      <c r="F424" s="2" t="s">
        <v>311</v>
      </c>
      <c r="G424" s="2" t="s">
        <v>3095</v>
      </c>
      <c r="H424" s="2" t="s">
        <v>3092</v>
      </c>
      <c r="I424" s="1" t="s">
        <v>14</v>
      </c>
      <c r="J424" s="1" t="s">
        <v>4790</v>
      </c>
      <c r="K424" s="17"/>
      <c r="L424" s="54">
        <v>0.22</v>
      </c>
      <c r="M424" s="39"/>
      <c r="N424" s="39"/>
      <c r="O424" s="39">
        <v>125</v>
      </c>
      <c r="P424" s="39"/>
      <c r="Q424" s="39"/>
      <c r="R424" s="39"/>
      <c r="S424" s="39"/>
      <c r="T424" s="39"/>
      <c r="U424" s="39"/>
      <c r="V424" s="39"/>
      <c r="W424" s="92"/>
    </row>
    <row r="425" spans="1:23" s="79" customFormat="1" ht="25.5" x14ac:dyDescent="0.2">
      <c r="A425" s="1" t="s">
        <v>56</v>
      </c>
      <c r="B425" s="2" t="s">
        <v>24</v>
      </c>
      <c r="C425" s="2" t="s">
        <v>57</v>
      </c>
      <c r="D425" s="2" t="s">
        <v>58</v>
      </c>
      <c r="E425" s="2">
        <v>2023</v>
      </c>
      <c r="F425" s="2" t="s">
        <v>337</v>
      </c>
      <c r="G425" s="2" t="s">
        <v>3095</v>
      </c>
      <c r="H425" s="2" t="s">
        <v>3092</v>
      </c>
      <c r="I425" s="1" t="s">
        <v>14</v>
      </c>
      <c r="J425" s="1" t="s">
        <v>4791</v>
      </c>
      <c r="K425" s="17"/>
      <c r="L425" s="54">
        <v>0.22</v>
      </c>
      <c r="M425" s="39"/>
      <c r="N425" s="39"/>
      <c r="O425" s="39">
        <v>123.43</v>
      </c>
      <c r="P425" s="39"/>
      <c r="Q425" s="39"/>
      <c r="R425" s="39"/>
      <c r="S425" s="39"/>
      <c r="T425" s="39"/>
      <c r="U425" s="39"/>
      <c r="V425" s="39"/>
      <c r="W425" s="92"/>
    </row>
    <row r="426" spans="1:23" s="79" customFormat="1" ht="25.5" x14ac:dyDescent="0.2">
      <c r="A426" s="1" t="s">
        <v>56</v>
      </c>
      <c r="B426" s="2" t="s">
        <v>24</v>
      </c>
      <c r="C426" s="2" t="s">
        <v>57</v>
      </c>
      <c r="D426" s="2" t="s">
        <v>58</v>
      </c>
      <c r="E426" s="2">
        <v>2023</v>
      </c>
      <c r="F426" s="2" t="s">
        <v>364</v>
      </c>
      <c r="G426" s="2" t="s">
        <v>3095</v>
      </c>
      <c r="H426" s="2" t="s">
        <v>3092</v>
      </c>
      <c r="I426" s="1" t="s">
        <v>14</v>
      </c>
      <c r="J426" s="1" t="s">
        <v>4792</v>
      </c>
      <c r="K426" s="17"/>
      <c r="L426" s="54">
        <v>0.21</v>
      </c>
      <c r="M426" s="39"/>
      <c r="N426" s="39"/>
      <c r="O426" s="39">
        <v>110.43</v>
      </c>
      <c r="P426" s="39"/>
      <c r="Q426" s="39"/>
      <c r="R426" s="39"/>
      <c r="S426" s="39"/>
      <c r="T426" s="39"/>
      <c r="U426" s="39"/>
      <c r="V426" s="39"/>
      <c r="W426" s="92"/>
    </row>
    <row r="427" spans="1:23" s="79" customFormat="1" ht="25.5" x14ac:dyDescent="0.2">
      <c r="A427" s="1" t="s">
        <v>56</v>
      </c>
      <c r="B427" s="2" t="s">
        <v>24</v>
      </c>
      <c r="C427" s="2" t="s">
        <v>57</v>
      </c>
      <c r="D427" s="2" t="s">
        <v>58</v>
      </c>
      <c r="E427" s="2">
        <v>2023</v>
      </c>
      <c r="F427" s="2" t="s">
        <v>388</v>
      </c>
      <c r="G427" s="2" t="s">
        <v>3095</v>
      </c>
      <c r="H427" s="2" t="s">
        <v>3092</v>
      </c>
      <c r="I427" s="1" t="s">
        <v>14</v>
      </c>
      <c r="J427" s="1" t="s">
        <v>4793</v>
      </c>
      <c r="K427" s="17"/>
      <c r="L427" s="54">
        <v>0.21</v>
      </c>
      <c r="M427" s="39"/>
      <c r="N427" s="39"/>
      <c r="O427" s="39">
        <v>130.54</v>
      </c>
      <c r="P427" s="39"/>
      <c r="Q427" s="39"/>
      <c r="R427" s="39"/>
      <c r="S427" s="39"/>
      <c r="T427" s="39"/>
      <c r="U427" s="39"/>
      <c r="V427" s="39"/>
      <c r="W427" s="92"/>
    </row>
    <row r="428" spans="1:23" s="79" customFormat="1" ht="25.5" x14ac:dyDescent="0.2">
      <c r="A428" s="1" t="s">
        <v>393</v>
      </c>
      <c r="B428" s="2" t="s">
        <v>32</v>
      </c>
      <c r="C428" s="2" t="s">
        <v>394</v>
      </c>
      <c r="D428" s="2" t="s">
        <v>243</v>
      </c>
      <c r="E428" s="2">
        <v>2023</v>
      </c>
      <c r="F428" s="2" t="s">
        <v>364</v>
      </c>
      <c r="G428" s="2" t="s">
        <v>3095</v>
      </c>
      <c r="H428" s="2" t="s">
        <v>3092</v>
      </c>
      <c r="I428" s="1" t="s">
        <v>14</v>
      </c>
      <c r="J428" s="1" t="s">
        <v>4794</v>
      </c>
      <c r="K428" s="17"/>
      <c r="L428" s="54"/>
      <c r="M428" s="39"/>
      <c r="N428" s="39"/>
      <c r="O428" s="39"/>
      <c r="P428" s="39"/>
      <c r="Q428" s="39"/>
      <c r="R428" s="39">
        <v>36.21</v>
      </c>
      <c r="S428" s="39"/>
      <c r="T428" s="39"/>
      <c r="U428" s="39"/>
      <c r="V428" s="39"/>
      <c r="W428" s="92" t="s">
        <v>4509</v>
      </c>
    </row>
    <row r="429" spans="1:23" s="79" customFormat="1" ht="25.5" x14ac:dyDescent="0.2">
      <c r="A429" s="1" t="s">
        <v>347</v>
      </c>
      <c r="B429" s="2" t="s">
        <v>222</v>
      </c>
      <c r="C429" s="2" t="s">
        <v>348</v>
      </c>
      <c r="D429" s="2" t="s">
        <v>192</v>
      </c>
      <c r="E429" s="2">
        <v>2023</v>
      </c>
      <c r="F429" s="2" t="s">
        <v>337</v>
      </c>
      <c r="G429" s="2" t="s">
        <v>3092</v>
      </c>
      <c r="H429" s="2" t="s">
        <v>3092</v>
      </c>
      <c r="I429" s="1" t="s">
        <v>4795</v>
      </c>
      <c r="J429" s="1" t="s">
        <v>4796</v>
      </c>
      <c r="K429" s="17"/>
      <c r="L429" s="54"/>
      <c r="M429" s="39"/>
      <c r="N429" s="39"/>
      <c r="O429" s="39"/>
      <c r="P429" s="39"/>
      <c r="Q429" s="39"/>
      <c r="R429" s="39"/>
      <c r="S429" s="39"/>
      <c r="T429" s="39"/>
      <c r="U429" s="39"/>
      <c r="V429" s="39"/>
      <c r="W429" s="92" t="s">
        <v>1695</v>
      </c>
    </row>
    <row r="430" spans="1:23" s="79" customFormat="1" ht="63.75" x14ac:dyDescent="0.2">
      <c r="A430" s="1" t="s">
        <v>15</v>
      </c>
      <c r="B430" s="2" t="s">
        <v>16</v>
      </c>
      <c r="C430" s="2" t="s">
        <v>17</v>
      </c>
      <c r="D430" s="2" t="s">
        <v>18</v>
      </c>
      <c r="E430" s="2">
        <v>2023</v>
      </c>
      <c r="F430" s="2" t="s">
        <v>13</v>
      </c>
      <c r="G430" s="2" t="s">
        <v>3093</v>
      </c>
      <c r="H430" s="2" t="s">
        <v>3092</v>
      </c>
      <c r="I430" s="1" t="s">
        <v>14</v>
      </c>
      <c r="J430" s="1" t="s">
        <v>4797</v>
      </c>
      <c r="K430" s="17"/>
      <c r="L430" s="54">
        <v>0.27500000000000002</v>
      </c>
      <c r="M430" s="39"/>
      <c r="N430" s="39"/>
      <c r="O430" s="39">
        <f>290.23+63.612</f>
        <v>353.84200000000004</v>
      </c>
      <c r="P430" s="39"/>
      <c r="Q430" s="39"/>
      <c r="R430" s="39"/>
      <c r="S430" s="39"/>
      <c r="T430" s="39">
        <v>448.06799999999998</v>
      </c>
      <c r="U430" s="39"/>
      <c r="V430" s="39"/>
      <c r="W430" s="92"/>
    </row>
    <row r="431" spans="1:23" s="79" customFormat="1" ht="63.75" x14ac:dyDescent="0.2">
      <c r="A431" s="1" t="s">
        <v>15</v>
      </c>
      <c r="B431" s="2" t="s">
        <v>16</v>
      </c>
      <c r="C431" s="2" t="s">
        <v>17</v>
      </c>
      <c r="D431" s="2" t="s">
        <v>18</v>
      </c>
      <c r="E431" s="2">
        <v>2023</v>
      </c>
      <c r="F431" s="2" t="s">
        <v>188</v>
      </c>
      <c r="G431" s="2" t="s">
        <v>3093</v>
      </c>
      <c r="H431" s="2" t="s">
        <v>3092</v>
      </c>
      <c r="I431" s="1" t="s">
        <v>14</v>
      </c>
      <c r="J431" s="1" t="s">
        <v>4798</v>
      </c>
      <c r="K431" s="17"/>
      <c r="L431" s="54">
        <v>0.27</v>
      </c>
      <c r="M431" s="39"/>
      <c r="N431" s="39"/>
      <c r="O431" s="39">
        <f>339.29+620.941</f>
        <v>960.23099999999999</v>
      </c>
      <c r="P431" s="39"/>
      <c r="Q431" s="39"/>
      <c r="R431" s="39"/>
      <c r="S431" s="39"/>
      <c r="T431" s="39">
        <v>307.53800000000001</v>
      </c>
      <c r="U431" s="39"/>
      <c r="V431" s="39"/>
      <c r="W431" s="92"/>
    </row>
    <row r="432" spans="1:23" s="79" customFormat="1" ht="76.5" x14ac:dyDescent="0.2">
      <c r="A432" s="1" t="s">
        <v>15</v>
      </c>
      <c r="B432" s="2" t="s">
        <v>16</v>
      </c>
      <c r="C432" s="2" t="s">
        <v>17</v>
      </c>
      <c r="D432" s="2" t="s">
        <v>18</v>
      </c>
      <c r="E432" s="2">
        <v>2023</v>
      </c>
      <c r="F432" s="2" t="s">
        <v>203</v>
      </c>
      <c r="G432" s="2" t="s">
        <v>3093</v>
      </c>
      <c r="H432" s="2" t="s">
        <v>3092</v>
      </c>
      <c r="I432" s="1" t="s">
        <v>14</v>
      </c>
      <c r="J432" s="1" t="s">
        <v>4799</v>
      </c>
      <c r="K432" s="17"/>
      <c r="L432" s="54">
        <v>0.27200000000000002</v>
      </c>
      <c r="M432" s="39"/>
      <c r="N432" s="39"/>
      <c r="O432" s="39">
        <f>392.143+188.913</f>
        <v>581.05600000000004</v>
      </c>
      <c r="P432" s="39"/>
      <c r="Q432" s="39"/>
      <c r="R432" s="39"/>
      <c r="S432" s="39"/>
      <c r="T432" s="39">
        <v>436.36599999999999</v>
      </c>
      <c r="U432" s="39"/>
      <c r="V432" s="39"/>
      <c r="W432" s="92"/>
    </row>
    <row r="433" spans="1:23" s="79" customFormat="1" ht="51" x14ac:dyDescent="0.2">
      <c r="A433" s="1" t="s">
        <v>15</v>
      </c>
      <c r="B433" s="2" t="s">
        <v>16</v>
      </c>
      <c r="C433" s="2" t="s">
        <v>17</v>
      </c>
      <c r="D433" s="2" t="s">
        <v>18</v>
      </c>
      <c r="E433" s="2">
        <v>2023</v>
      </c>
      <c r="F433" s="2" t="s">
        <v>211</v>
      </c>
      <c r="G433" s="2" t="s">
        <v>3093</v>
      </c>
      <c r="H433" s="2" t="s">
        <v>3092</v>
      </c>
      <c r="I433" s="1" t="s">
        <v>14</v>
      </c>
      <c r="J433" s="1" t="s">
        <v>4800</v>
      </c>
      <c r="K433" s="17"/>
      <c r="L433" s="54">
        <v>0.28199999999999997</v>
      </c>
      <c r="M433" s="39"/>
      <c r="N433" s="39"/>
      <c r="O433" s="39">
        <v>516.70399999999995</v>
      </c>
      <c r="P433" s="39"/>
      <c r="Q433" s="39"/>
      <c r="R433" s="39"/>
      <c r="S433" s="39"/>
      <c r="T433" s="39">
        <v>457.86099999999999</v>
      </c>
      <c r="U433" s="39"/>
      <c r="V433" s="39"/>
      <c r="W433" s="92"/>
    </row>
    <row r="434" spans="1:23" s="79" customFormat="1" ht="76.5" x14ac:dyDescent="0.2">
      <c r="A434" s="1" t="s">
        <v>15</v>
      </c>
      <c r="B434" s="2" t="s">
        <v>16</v>
      </c>
      <c r="C434" s="2" t="s">
        <v>17</v>
      </c>
      <c r="D434" s="2" t="s">
        <v>18</v>
      </c>
      <c r="E434" s="2">
        <v>2023</v>
      </c>
      <c r="F434" s="2" t="s">
        <v>221</v>
      </c>
      <c r="G434" s="2" t="s">
        <v>3093</v>
      </c>
      <c r="H434" s="2" t="s">
        <v>3092</v>
      </c>
      <c r="I434" s="1" t="s">
        <v>14</v>
      </c>
      <c r="J434" s="1" t="s">
        <v>4801</v>
      </c>
      <c r="K434" s="17"/>
      <c r="L434" s="54">
        <v>0.29099999999999998</v>
      </c>
      <c r="M434" s="39"/>
      <c r="N434" s="39"/>
      <c r="O434" s="39">
        <v>515.33799999999997</v>
      </c>
      <c r="P434" s="39"/>
      <c r="Q434" s="39"/>
      <c r="R434" s="39"/>
      <c r="S434" s="39"/>
      <c r="T434" s="39">
        <v>702.59199999999998</v>
      </c>
      <c r="U434" s="39"/>
      <c r="V434" s="39"/>
      <c r="W434" s="92"/>
    </row>
    <row r="435" spans="1:23" s="79" customFormat="1" ht="51" x14ac:dyDescent="0.2">
      <c r="A435" s="1" t="s">
        <v>15</v>
      </c>
      <c r="B435" s="2" t="s">
        <v>16</v>
      </c>
      <c r="C435" s="2" t="s">
        <v>17</v>
      </c>
      <c r="D435" s="2" t="s">
        <v>18</v>
      </c>
      <c r="E435" s="2">
        <v>2023</v>
      </c>
      <c r="F435" s="2" t="s">
        <v>256</v>
      </c>
      <c r="G435" s="2" t="s">
        <v>3093</v>
      </c>
      <c r="H435" s="2" t="s">
        <v>3092</v>
      </c>
      <c r="I435" s="1" t="s">
        <v>14</v>
      </c>
      <c r="J435" s="1" t="s">
        <v>4802</v>
      </c>
      <c r="K435" s="17"/>
      <c r="L435" s="54">
        <v>0.309</v>
      </c>
      <c r="M435" s="39"/>
      <c r="N435" s="39"/>
      <c r="O435" s="39">
        <v>928</v>
      </c>
      <c r="P435" s="39"/>
      <c r="Q435" s="39"/>
      <c r="R435" s="39"/>
      <c r="S435" s="39"/>
      <c r="T435" s="39">
        <v>366.64</v>
      </c>
      <c r="U435" s="39"/>
      <c r="V435" s="39"/>
      <c r="W435" s="92"/>
    </row>
    <row r="436" spans="1:23" s="79" customFormat="1" ht="76.5" x14ac:dyDescent="0.2">
      <c r="A436" s="1" t="s">
        <v>15</v>
      </c>
      <c r="B436" s="2" t="s">
        <v>16</v>
      </c>
      <c r="C436" s="2" t="s">
        <v>17</v>
      </c>
      <c r="D436" s="2" t="s">
        <v>18</v>
      </c>
      <c r="E436" s="2">
        <v>2023</v>
      </c>
      <c r="F436" s="2" t="s">
        <v>276</v>
      </c>
      <c r="G436" s="2" t="s">
        <v>3093</v>
      </c>
      <c r="H436" s="2" t="s">
        <v>3092</v>
      </c>
      <c r="I436" s="1" t="s">
        <v>14</v>
      </c>
      <c r="J436" s="1" t="s">
        <v>4803</v>
      </c>
      <c r="K436" s="17"/>
      <c r="L436" s="54">
        <v>0.311</v>
      </c>
      <c r="M436" s="39"/>
      <c r="N436" s="39"/>
      <c r="O436" s="39">
        <v>507.86900000000003</v>
      </c>
      <c r="P436" s="39"/>
      <c r="Q436" s="39"/>
      <c r="R436" s="39"/>
      <c r="S436" s="39"/>
      <c r="T436" s="14">
        <v>278.29300000000001</v>
      </c>
      <c r="U436" s="39"/>
      <c r="V436" s="39"/>
      <c r="W436" s="92"/>
    </row>
    <row r="437" spans="1:23" s="79" customFormat="1" ht="51" x14ac:dyDescent="0.2">
      <c r="A437" s="1" t="s">
        <v>15</v>
      </c>
      <c r="B437" s="2" t="s">
        <v>16</v>
      </c>
      <c r="C437" s="2" t="s">
        <v>17</v>
      </c>
      <c r="D437" s="2" t="s">
        <v>18</v>
      </c>
      <c r="E437" s="2">
        <v>2023</v>
      </c>
      <c r="F437" s="2" t="s">
        <v>291</v>
      </c>
      <c r="G437" s="2" t="s">
        <v>3093</v>
      </c>
      <c r="H437" s="2" t="s">
        <v>3092</v>
      </c>
      <c r="I437" s="1" t="s">
        <v>14</v>
      </c>
      <c r="J437" s="1" t="s">
        <v>4804</v>
      </c>
      <c r="K437" s="17"/>
      <c r="L437" s="54">
        <v>0.28199999999999997</v>
      </c>
      <c r="M437" s="39"/>
      <c r="N437" s="39"/>
      <c r="O437" s="39">
        <v>762.49900000000002</v>
      </c>
      <c r="P437" s="39"/>
      <c r="Q437" s="39"/>
      <c r="R437" s="39"/>
      <c r="S437" s="39"/>
      <c r="T437" s="39">
        <v>354.50900000000001</v>
      </c>
      <c r="U437" s="39"/>
      <c r="V437" s="39"/>
      <c r="W437" s="92"/>
    </row>
    <row r="438" spans="1:23" s="79" customFormat="1" ht="63.75" x14ac:dyDescent="0.2">
      <c r="A438" s="1" t="s">
        <v>15</v>
      </c>
      <c r="B438" s="2" t="s">
        <v>16</v>
      </c>
      <c r="C438" s="2" t="s">
        <v>17</v>
      </c>
      <c r="D438" s="2" t="s">
        <v>18</v>
      </c>
      <c r="E438" s="2">
        <v>2023</v>
      </c>
      <c r="F438" s="2" t="s">
        <v>311</v>
      </c>
      <c r="G438" s="2" t="s">
        <v>3093</v>
      </c>
      <c r="H438" s="2" t="s">
        <v>3092</v>
      </c>
      <c r="I438" s="1" t="s">
        <v>14</v>
      </c>
      <c r="J438" s="1" t="s">
        <v>4805</v>
      </c>
      <c r="K438" s="17"/>
      <c r="L438" s="54">
        <v>0.28000000000000003</v>
      </c>
      <c r="M438" s="39"/>
      <c r="N438" s="39"/>
      <c r="O438" s="39">
        <v>878.38</v>
      </c>
      <c r="P438" s="39"/>
      <c r="Q438" s="39"/>
      <c r="R438" s="39"/>
      <c r="S438" s="39"/>
      <c r="T438" s="39">
        <v>262.21199999999999</v>
      </c>
      <c r="U438" s="39"/>
      <c r="V438" s="39"/>
      <c r="W438" s="92"/>
    </row>
    <row r="439" spans="1:23" s="79" customFormat="1" ht="38.25" x14ac:dyDescent="0.2">
      <c r="A439" s="1" t="s">
        <v>15</v>
      </c>
      <c r="B439" s="2" t="s">
        <v>16</v>
      </c>
      <c r="C439" s="2" t="s">
        <v>17</v>
      </c>
      <c r="D439" s="2" t="s">
        <v>18</v>
      </c>
      <c r="E439" s="2">
        <v>2023</v>
      </c>
      <c r="F439" s="2" t="s">
        <v>337</v>
      </c>
      <c r="G439" s="2" t="s">
        <v>3093</v>
      </c>
      <c r="H439" s="2" t="s">
        <v>3092</v>
      </c>
      <c r="I439" s="1" t="s">
        <v>14</v>
      </c>
      <c r="J439" s="1" t="s">
        <v>4806</v>
      </c>
      <c r="K439" s="17"/>
      <c r="L439" s="54">
        <v>0.28799999999999998</v>
      </c>
      <c r="M439" s="39"/>
      <c r="N439" s="39"/>
      <c r="O439" s="39">
        <v>621.98599999999999</v>
      </c>
      <c r="P439" s="39"/>
      <c r="Q439" s="39"/>
      <c r="R439" s="39"/>
      <c r="S439" s="39"/>
      <c r="T439" s="39">
        <v>653.38199999999995</v>
      </c>
      <c r="U439" s="39"/>
      <c r="V439" s="39"/>
      <c r="W439" s="92"/>
    </row>
    <row r="440" spans="1:23" s="79" customFormat="1" ht="51" x14ac:dyDescent="0.2">
      <c r="A440" s="1" t="s">
        <v>15</v>
      </c>
      <c r="B440" s="2" t="s">
        <v>16</v>
      </c>
      <c r="C440" s="2" t="s">
        <v>17</v>
      </c>
      <c r="D440" s="2" t="s">
        <v>18</v>
      </c>
      <c r="E440" s="2">
        <v>2023</v>
      </c>
      <c r="F440" s="2" t="s">
        <v>364</v>
      </c>
      <c r="G440" s="2" t="s">
        <v>3093</v>
      </c>
      <c r="H440" s="2" t="s">
        <v>3092</v>
      </c>
      <c r="I440" s="1" t="s">
        <v>14</v>
      </c>
      <c r="J440" s="1" t="s">
        <v>4807</v>
      </c>
      <c r="K440" s="17"/>
      <c r="L440" s="80">
        <v>0.27900000000000003</v>
      </c>
      <c r="M440" s="15"/>
      <c r="N440" s="15"/>
      <c r="O440" s="15">
        <v>687.88400000000001</v>
      </c>
      <c r="P440" s="15"/>
      <c r="Q440" s="15"/>
      <c r="R440" s="15"/>
      <c r="S440" s="15"/>
      <c r="T440" s="15">
        <v>578.43100000000004</v>
      </c>
      <c r="U440" s="15"/>
      <c r="V440" s="15"/>
      <c r="W440" s="92"/>
    </row>
    <row r="441" spans="1:23" s="79" customFormat="1" ht="38.25" x14ac:dyDescent="0.2">
      <c r="A441" s="1" t="s">
        <v>15</v>
      </c>
      <c r="B441" s="2" t="s">
        <v>16</v>
      </c>
      <c r="C441" s="2" t="s">
        <v>17</v>
      </c>
      <c r="D441" s="2" t="s">
        <v>18</v>
      </c>
      <c r="E441" s="2">
        <v>2023</v>
      </c>
      <c r="F441" s="2" t="s">
        <v>388</v>
      </c>
      <c r="G441" s="2" t="s">
        <v>3093</v>
      </c>
      <c r="H441" s="2" t="s">
        <v>3092</v>
      </c>
      <c r="I441" s="1" t="s">
        <v>14</v>
      </c>
      <c r="J441" s="1" t="s">
        <v>4808</v>
      </c>
      <c r="K441" s="17"/>
      <c r="L441" s="54">
        <v>0.28899999999999998</v>
      </c>
      <c r="M441" s="39"/>
      <c r="N441" s="39"/>
      <c r="O441" s="39">
        <v>516.08299999999997</v>
      </c>
      <c r="P441" s="39"/>
      <c r="Q441" s="39"/>
      <c r="R441" s="39"/>
      <c r="S441" s="39"/>
      <c r="T441" s="39">
        <v>453.20400000000001</v>
      </c>
      <c r="U441" s="39"/>
      <c r="V441" s="39"/>
      <c r="W441" s="92"/>
    </row>
    <row r="442" spans="1:23" s="79" customFormat="1" ht="76.5" x14ac:dyDescent="0.2">
      <c r="A442" s="1" t="s">
        <v>215</v>
      </c>
      <c r="B442" s="2" t="s">
        <v>196</v>
      </c>
      <c r="C442" s="2" t="s">
        <v>216</v>
      </c>
      <c r="D442" s="2" t="s">
        <v>197</v>
      </c>
      <c r="E442" s="2">
        <v>2023</v>
      </c>
      <c r="F442" s="2" t="s">
        <v>364</v>
      </c>
      <c r="G442" s="2" t="s">
        <v>3092</v>
      </c>
      <c r="H442" s="2" t="s">
        <v>3093</v>
      </c>
      <c r="I442" s="1" t="s">
        <v>4809</v>
      </c>
      <c r="J442" s="1" t="s">
        <v>4810</v>
      </c>
      <c r="K442" s="17"/>
      <c r="L442" s="54"/>
      <c r="M442" s="39"/>
      <c r="N442" s="39"/>
      <c r="O442" s="39"/>
      <c r="P442" s="39"/>
      <c r="Q442" s="39"/>
      <c r="R442" s="39"/>
      <c r="S442" s="39"/>
      <c r="T442" s="39"/>
      <c r="U442" s="39"/>
      <c r="V442" s="39"/>
      <c r="W442" s="92" t="s">
        <v>1693</v>
      </c>
    </row>
    <row r="443" spans="1:23" s="79" customFormat="1" ht="25.5" x14ac:dyDescent="0.2">
      <c r="A443" s="1" t="s">
        <v>171</v>
      </c>
      <c r="B443" s="2" t="s">
        <v>48</v>
      </c>
      <c r="C443" s="2" t="s">
        <v>172</v>
      </c>
      <c r="D443" s="2" t="s">
        <v>173</v>
      </c>
      <c r="E443" s="2">
        <v>2023</v>
      </c>
      <c r="F443" s="2" t="s">
        <v>13</v>
      </c>
      <c r="G443" s="2" t="s">
        <v>3095</v>
      </c>
      <c r="H443" s="2" t="s">
        <v>3092</v>
      </c>
      <c r="I443" s="1" t="s">
        <v>14</v>
      </c>
      <c r="J443" s="1" t="s">
        <v>4811</v>
      </c>
      <c r="K443" s="17"/>
      <c r="L443" s="54">
        <v>0.18099999999999999</v>
      </c>
      <c r="M443" s="39"/>
      <c r="N443" s="39"/>
      <c r="O443" s="39">
        <v>224.09</v>
      </c>
      <c r="P443" s="39"/>
      <c r="Q443" s="39"/>
      <c r="R443" s="39"/>
      <c r="S443" s="39"/>
      <c r="T443" s="39"/>
      <c r="U443" s="39"/>
      <c r="V443" s="39"/>
      <c r="W443" s="92" t="s">
        <v>1681</v>
      </c>
    </row>
    <row r="444" spans="1:23" s="79" customFormat="1" ht="25.5" x14ac:dyDescent="0.2">
      <c r="A444" s="1" t="s">
        <v>171</v>
      </c>
      <c r="B444" s="2" t="s">
        <v>48</v>
      </c>
      <c r="C444" s="2" t="s">
        <v>172</v>
      </c>
      <c r="D444" s="2" t="s">
        <v>173</v>
      </c>
      <c r="E444" s="2">
        <v>2023</v>
      </c>
      <c r="F444" s="2" t="s">
        <v>188</v>
      </c>
      <c r="G444" s="2" t="s">
        <v>3095</v>
      </c>
      <c r="H444" s="2" t="s">
        <v>3092</v>
      </c>
      <c r="I444" s="1" t="s">
        <v>14</v>
      </c>
      <c r="J444" s="1" t="s">
        <v>4812</v>
      </c>
      <c r="K444" s="17"/>
      <c r="L444" s="54">
        <v>0.17100000000000001</v>
      </c>
      <c r="M444" s="39"/>
      <c r="N444" s="39"/>
      <c r="O444" s="39">
        <v>242.28</v>
      </c>
      <c r="P444" s="39"/>
      <c r="Q444" s="39"/>
      <c r="R444" s="39"/>
      <c r="S444" s="39"/>
      <c r="T444" s="39"/>
      <c r="U444" s="39"/>
      <c r="V444" s="39"/>
      <c r="W444" s="92" t="s">
        <v>1681</v>
      </c>
    </row>
    <row r="445" spans="1:23" s="79" customFormat="1" ht="25.5" x14ac:dyDescent="0.2">
      <c r="A445" s="1" t="s">
        <v>171</v>
      </c>
      <c r="B445" s="2" t="s">
        <v>48</v>
      </c>
      <c r="C445" s="2" t="s">
        <v>172</v>
      </c>
      <c r="D445" s="2" t="s">
        <v>173</v>
      </c>
      <c r="E445" s="2">
        <v>2023</v>
      </c>
      <c r="F445" s="2" t="s">
        <v>203</v>
      </c>
      <c r="G445" s="2" t="s">
        <v>3095</v>
      </c>
      <c r="H445" s="2" t="s">
        <v>3092</v>
      </c>
      <c r="I445" s="1" t="s">
        <v>14</v>
      </c>
      <c r="J445" s="1" t="s">
        <v>4813</v>
      </c>
      <c r="K445" s="17"/>
      <c r="L445" s="54">
        <v>0.17299999999999999</v>
      </c>
      <c r="M445" s="39"/>
      <c r="N445" s="39"/>
      <c r="O445" s="39">
        <v>346.25</v>
      </c>
      <c r="P445" s="39"/>
      <c r="Q445" s="39"/>
      <c r="R445" s="39"/>
      <c r="S445" s="39"/>
      <c r="T445" s="39"/>
      <c r="U445" s="39"/>
      <c r="V445" s="39"/>
      <c r="W445" s="92" t="s">
        <v>1681</v>
      </c>
    </row>
    <row r="446" spans="1:23" s="79" customFormat="1" ht="25.5" x14ac:dyDescent="0.2">
      <c r="A446" s="1" t="s">
        <v>171</v>
      </c>
      <c r="B446" s="2" t="s">
        <v>48</v>
      </c>
      <c r="C446" s="2" t="s">
        <v>172</v>
      </c>
      <c r="D446" s="2" t="s">
        <v>173</v>
      </c>
      <c r="E446" s="2">
        <v>2023</v>
      </c>
      <c r="F446" s="2" t="s">
        <v>211</v>
      </c>
      <c r="G446" s="2" t="s">
        <v>3095</v>
      </c>
      <c r="H446" s="2" t="s">
        <v>3092</v>
      </c>
      <c r="I446" s="1" t="s">
        <v>14</v>
      </c>
      <c r="J446" s="1" t="s">
        <v>4814</v>
      </c>
      <c r="K446" s="17"/>
      <c r="L446" s="54">
        <v>0.17799999999999999</v>
      </c>
      <c r="M446" s="39"/>
      <c r="N446" s="39"/>
      <c r="O446" s="39">
        <v>230.05</v>
      </c>
      <c r="P446" s="39"/>
      <c r="Q446" s="39"/>
      <c r="R446" s="39"/>
      <c r="S446" s="39"/>
      <c r="T446" s="39"/>
      <c r="U446" s="39"/>
      <c r="V446" s="39"/>
      <c r="W446" s="92" t="s">
        <v>1681</v>
      </c>
    </row>
    <row r="447" spans="1:23" s="79" customFormat="1" ht="25.5" x14ac:dyDescent="0.2">
      <c r="A447" s="1" t="s">
        <v>171</v>
      </c>
      <c r="B447" s="2" t="s">
        <v>48</v>
      </c>
      <c r="C447" s="2" t="s">
        <v>172</v>
      </c>
      <c r="D447" s="2" t="s">
        <v>173</v>
      </c>
      <c r="E447" s="2">
        <v>2023</v>
      </c>
      <c r="F447" s="2" t="s">
        <v>221</v>
      </c>
      <c r="G447" s="2" t="s">
        <v>3095</v>
      </c>
      <c r="H447" s="2" t="s">
        <v>3092</v>
      </c>
      <c r="I447" s="1" t="s">
        <v>14</v>
      </c>
      <c r="J447" s="1" t="s">
        <v>4815</v>
      </c>
      <c r="K447" s="17"/>
      <c r="L447" s="54">
        <v>0.2</v>
      </c>
      <c r="M447" s="39"/>
      <c r="N447" s="39"/>
      <c r="O447" s="39">
        <v>195.04</v>
      </c>
      <c r="P447" s="39"/>
      <c r="Q447" s="39"/>
      <c r="R447" s="39"/>
      <c r="S447" s="39"/>
      <c r="T447" s="39"/>
      <c r="U447" s="39"/>
      <c r="V447" s="39"/>
      <c r="W447" s="92" t="s">
        <v>1681</v>
      </c>
    </row>
    <row r="448" spans="1:23" s="79" customFormat="1" ht="25.5" x14ac:dyDescent="0.2">
      <c r="A448" s="1" t="s">
        <v>171</v>
      </c>
      <c r="B448" s="2" t="s">
        <v>48</v>
      </c>
      <c r="C448" s="2" t="s">
        <v>172</v>
      </c>
      <c r="D448" s="2" t="s">
        <v>173</v>
      </c>
      <c r="E448" s="2">
        <v>2023</v>
      </c>
      <c r="F448" s="2" t="s">
        <v>256</v>
      </c>
      <c r="G448" s="2" t="s">
        <v>3095</v>
      </c>
      <c r="H448" s="2" t="s">
        <v>3092</v>
      </c>
      <c r="I448" s="1" t="s">
        <v>14</v>
      </c>
      <c r="J448" s="1" t="s">
        <v>4816</v>
      </c>
      <c r="K448" s="17"/>
      <c r="L448" s="54">
        <v>0.19</v>
      </c>
      <c r="M448" s="39"/>
      <c r="N448" s="39"/>
      <c r="O448" s="39">
        <v>187.45</v>
      </c>
      <c r="P448" s="39"/>
      <c r="Q448" s="39"/>
      <c r="R448" s="39"/>
      <c r="S448" s="39"/>
      <c r="T448" s="39"/>
      <c r="U448" s="39"/>
      <c r="V448" s="39"/>
      <c r="W448" s="92" t="s">
        <v>1681</v>
      </c>
    </row>
    <row r="449" spans="1:23" s="79" customFormat="1" ht="25.5" x14ac:dyDescent="0.2">
      <c r="A449" s="1" t="s">
        <v>171</v>
      </c>
      <c r="B449" s="2" t="s">
        <v>48</v>
      </c>
      <c r="C449" s="2" t="s">
        <v>172</v>
      </c>
      <c r="D449" s="2" t="s">
        <v>173</v>
      </c>
      <c r="E449" s="2">
        <v>2023</v>
      </c>
      <c r="F449" s="2" t="s">
        <v>276</v>
      </c>
      <c r="G449" s="2" t="s">
        <v>3095</v>
      </c>
      <c r="H449" s="2" t="s">
        <v>3092</v>
      </c>
      <c r="I449" s="1" t="s">
        <v>14</v>
      </c>
      <c r="J449" s="1" t="s">
        <v>4817</v>
      </c>
      <c r="K449" s="17"/>
      <c r="L449" s="54">
        <v>0.20399999999999999</v>
      </c>
      <c r="M449" s="39"/>
      <c r="N449" s="39"/>
      <c r="O449" s="39">
        <v>150.47</v>
      </c>
      <c r="P449" s="39"/>
      <c r="Q449" s="39"/>
      <c r="R449" s="39"/>
      <c r="S449" s="39"/>
      <c r="T449" s="39"/>
      <c r="U449" s="39"/>
      <c r="V449" s="39"/>
      <c r="W449" s="92" t="s">
        <v>1681</v>
      </c>
    </row>
    <row r="450" spans="1:23" s="79" customFormat="1" ht="25.5" x14ac:dyDescent="0.2">
      <c r="A450" s="1" t="s">
        <v>171</v>
      </c>
      <c r="B450" s="2" t="s">
        <v>48</v>
      </c>
      <c r="C450" s="2" t="s">
        <v>172</v>
      </c>
      <c r="D450" s="2" t="s">
        <v>173</v>
      </c>
      <c r="E450" s="2">
        <v>2023</v>
      </c>
      <c r="F450" s="2" t="s">
        <v>291</v>
      </c>
      <c r="G450" s="2" t="s">
        <v>3095</v>
      </c>
      <c r="H450" s="2" t="s">
        <v>3092</v>
      </c>
      <c r="I450" s="1" t="s">
        <v>14</v>
      </c>
      <c r="J450" s="1" t="s">
        <v>4818</v>
      </c>
      <c r="K450" s="17"/>
      <c r="L450" s="54">
        <v>0.20100000000000001</v>
      </c>
      <c r="M450" s="39"/>
      <c r="N450" s="39"/>
      <c r="O450" s="39">
        <v>69.53</v>
      </c>
      <c r="P450" s="39"/>
      <c r="Q450" s="39"/>
      <c r="R450" s="39"/>
      <c r="S450" s="39"/>
      <c r="T450" s="39"/>
      <c r="U450" s="39"/>
      <c r="V450" s="39"/>
      <c r="W450" s="92" t="s">
        <v>1681</v>
      </c>
    </row>
    <row r="451" spans="1:23" s="79" customFormat="1" ht="25.5" x14ac:dyDescent="0.2">
      <c r="A451" s="1" t="s">
        <v>171</v>
      </c>
      <c r="B451" s="2" t="s">
        <v>48</v>
      </c>
      <c r="C451" s="2" t="s">
        <v>172</v>
      </c>
      <c r="D451" s="2" t="s">
        <v>173</v>
      </c>
      <c r="E451" s="2">
        <v>2023</v>
      </c>
      <c r="F451" s="2" t="s">
        <v>311</v>
      </c>
      <c r="G451" s="2" t="s">
        <v>3095</v>
      </c>
      <c r="H451" s="2" t="s">
        <v>3092</v>
      </c>
      <c r="I451" s="1" t="s">
        <v>14</v>
      </c>
      <c r="J451" s="1" t="s">
        <v>4819</v>
      </c>
      <c r="K451" s="17"/>
      <c r="L451" s="54">
        <v>0.19400000000000001</v>
      </c>
      <c r="M451" s="39"/>
      <c r="N451" s="39"/>
      <c r="O451" s="39">
        <v>146.07</v>
      </c>
      <c r="P451" s="39"/>
      <c r="Q451" s="39"/>
      <c r="R451" s="39"/>
      <c r="S451" s="39"/>
      <c r="T451" s="39"/>
      <c r="U451" s="39"/>
      <c r="V451" s="39"/>
      <c r="W451" s="92" t="s">
        <v>1681</v>
      </c>
    </row>
    <row r="452" spans="1:23" s="79" customFormat="1" ht="25.5" x14ac:dyDescent="0.2">
      <c r="A452" s="1" t="s">
        <v>171</v>
      </c>
      <c r="B452" s="2" t="s">
        <v>48</v>
      </c>
      <c r="C452" s="2" t="s">
        <v>172</v>
      </c>
      <c r="D452" s="2" t="s">
        <v>173</v>
      </c>
      <c r="E452" s="2">
        <v>2023</v>
      </c>
      <c r="F452" s="2" t="s">
        <v>337</v>
      </c>
      <c r="G452" s="2" t="s">
        <v>3095</v>
      </c>
      <c r="H452" s="2" t="s">
        <v>3092</v>
      </c>
      <c r="I452" s="1" t="s">
        <v>14</v>
      </c>
      <c r="J452" s="1" t="s">
        <v>4820</v>
      </c>
      <c r="K452" s="17"/>
      <c r="L452" s="54">
        <v>0.193</v>
      </c>
      <c r="M452" s="39"/>
      <c r="N452" s="39"/>
      <c r="O452" s="39">
        <v>105.2</v>
      </c>
      <c r="P452" s="39"/>
      <c r="Q452" s="39"/>
      <c r="R452" s="39"/>
      <c r="S452" s="39"/>
      <c r="T452" s="39"/>
      <c r="U452" s="39"/>
      <c r="V452" s="39"/>
      <c r="W452" s="92" t="s">
        <v>1681</v>
      </c>
    </row>
    <row r="453" spans="1:23" s="79" customFormat="1" ht="25.5" x14ac:dyDescent="0.2">
      <c r="A453" s="1" t="s">
        <v>171</v>
      </c>
      <c r="B453" s="2" t="s">
        <v>48</v>
      </c>
      <c r="C453" s="2" t="s">
        <v>172</v>
      </c>
      <c r="D453" s="2" t="s">
        <v>173</v>
      </c>
      <c r="E453" s="2">
        <v>2023</v>
      </c>
      <c r="F453" s="2" t="s">
        <v>388</v>
      </c>
      <c r="G453" s="2" t="s">
        <v>3095</v>
      </c>
      <c r="H453" s="2" t="s">
        <v>3092</v>
      </c>
      <c r="I453" s="1" t="s">
        <v>14</v>
      </c>
      <c r="J453" s="1" t="s">
        <v>4821</v>
      </c>
      <c r="K453" s="17"/>
      <c r="L453" s="54">
        <v>0.189</v>
      </c>
      <c r="M453" s="39"/>
      <c r="N453" s="39"/>
      <c r="O453" s="39">
        <v>55.67</v>
      </c>
      <c r="P453" s="39"/>
      <c r="Q453" s="39"/>
      <c r="R453" s="39"/>
      <c r="S453" s="39"/>
      <c r="T453" s="39"/>
      <c r="U453" s="39"/>
      <c r="V453" s="39"/>
      <c r="W453" s="92" t="s">
        <v>1681</v>
      </c>
    </row>
    <row r="454" spans="1:23" s="79" customFormat="1" ht="25.5" x14ac:dyDescent="0.2">
      <c r="A454" s="1" t="s">
        <v>420</v>
      </c>
      <c r="B454" s="2" t="s">
        <v>196</v>
      </c>
      <c r="C454" s="2" t="s">
        <v>172</v>
      </c>
      <c r="D454" s="2" t="s">
        <v>173</v>
      </c>
      <c r="E454" s="2">
        <v>2023</v>
      </c>
      <c r="F454" s="2" t="s">
        <v>337</v>
      </c>
      <c r="G454" s="2" t="s">
        <v>3093</v>
      </c>
      <c r="H454" s="2" t="s">
        <v>3092</v>
      </c>
      <c r="I454" s="1" t="s">
        <v>14</v>
      </c>
      <c r="J454" s="1" t="s">
        <v>4822</v>
      </c>
      <c r="K454" s="17"/>
      <c r="L454" s="54" t="s">
        <v>1670</v>
      </c>
      <c r="M454" s="39"/>
      <c r="N454" s="39"/>
      <c r="O454" s="39">
        <v>269.08999999999997</v>
      </c>
      <c r="P454" s="39"/>
      <c r="Q454" s="39"/>
      <c r="R454" s="39"/>
      <c r="S454" s="39"/>
      <c r="T454" s="39"/>
      <c r="U454" s="39"/>
      <c r="V454" s="39"/>
      <c r="W454" s="92" t="s">
        <v>1681</v>
      </c>
    </row>
    <row r="455" spans="1:23" s="79" customFormat="1" ht="38.25" x14ac:dyDescent="0.2">
      <c r="A455" s="1" t="s">
        <v>4823</v>
      </c>
      <c r="B455" s="2" t="s">
        <v>196</v>
      </c>
      <c r="C455" s="2" t="s">
        <v>4824</v>
      </c>
      <c r="D455" s="2" t="s">
        <v>202</v>
      </c>
      <c r="E455" s="2">
        <v>2023</v>
      </c>
      <c r="F455" s="2" t="s">
        <v>276</v>
      </c>
      <c r="G455" s="2" t="s">
        <v>3092</v>
      </c>
      <c r="H455" s="2" t="s">
        <v>3093</v>
      </c>
      <c r="I455" s="1" t="s">
        <v>4825</v>
      </c>
      <c r="J455" s="1" t="s">
        <v>14</v>
      </c>
      <c r="K455" s="17"/>
      <c r="L455" s="54"/>
      <c r="M455" s="39"/>
      <c r="N455" s="39"/>
      <c r="O455" s="39"/>
      <c r="P455" s="39"/>
      <c r="Q455" s="39"/>
      <c r="R455" s="39"/>
      <c r="S455" s="39"/>
      <c r="T455" s="39"/>
      <c r="U455" s="39"/>
      <c r="V455" s="39"/>
      <c r="W455" s="92" t="s">
        <v>1693</v>
      </c>
    </row>
    <row r="456" spans="1:23" s="79" customFormat="1" ht="51" x14ac:dyDescent="0.2">
      <c r="A456" s="1" t="s">
        <v>113</v>
      </c>
      <c r="B456" s="2" t="s">
        <v>38</v>
      </c>
      <c r="C456" s="2" t="s">
        <v>114</v>
      </c>
      <c r="D456" s="2" t="s">
        <v>115</v>
      </c>
      <c r="E456" s="2">
        <v>2023</v>
      </c>
      <c r="F456" s="2" t="s">
        <v>13</v>
      </c>
      <c r="G456" s="2" t="s">
        <v>3095</v>
      </c>
      <c r="H456" s="2" t="s">
        <v>3092</v>
      </c>
      <c r="I456" s="1" t="s">
        <v>14</v>
      </c>
      <c r="J456" s="1" t="s">
        <v>4826</v>
      </c>
      <c r="K456" s="17"/>
      <c r="L456" s="54">
        <v>0.16300000000000001</v>
      </c>
      <c r="M456" s="39"/>
      <c r="N456" s="39"/>
      <c r="O456" s="39">
        <v>96.47</v>
      </c>
      <c r="P456" s="39"/>
      <c r="Q456" s="39"/>
      <c r="R456" s="39"/>
      <c r="S456" s="39"/>
      <c r="T456" s="39"/>
      <c r="U456" s="39"/>
      <c r="V456" s="39"/>
      <c r="W456" s="92"/>
    </row>
    <row r="457" spans="1:23" s="79" customFormat="1" ht="38.25" x14ac:dyDescent="0.2">
      <c r="A457" s="1" t="s">
        <v>113</v>
      </c>
      <c r="B457" s="2" t="s">
        <v>38</v>
      </c>
      <c r="C457" s="2" t="s">
        <v>114</v>
      </c>
      <c r="D457" s="2" t="s">
        <v>115</v>
      </c>
      <c r="E457" s="2">
        <v>2023</v>
      </c>
      <c r="F457" s="2" t="s">
        <v>188</v>
      </c>
      <c r="G457" s="2" t="s">
        <v>3095</v>
      </c>
      <c r="H457" s="2" t="s">
        <v>3092</v>
      </c>
      <c r="I457" s="1" t="s">
        <v>14</v>
      </c>
      <c r="J457" s="1" t="s">
        <v>4827</v>
      </c>
      <c r="K457" s="17"/>
      <c r="L457" s="54">
        <v>0.16600000000000001</v>
      </c>
      <c r="M457" s="39"/>
      <c r="N457" s="39"/>
      <c r="O457" s="39">
        <v>66.819999999999993</v>
      </c>
      <c r="P457" s="39"/>
      <c r="Q457" s="39"/>
      <c r="R457" s="39"/>
      <c r="S457" s="39"/>
      <c r="T457" s="39"/>
      <c r="U457" s="39"/>
      <c r="V457" s="39"/>
      <c r="W457" s="92"/>
    </row>
    <row r="458" spans="1:23" s="79" customFormat="1" ht="63.75" x14ac:dyDescent="0.2">
      <c r="A458" s="1" t="s">
        <v>113</v>
      </c>
      <c r="B458" s="2" t="s">
        <v>38</v>
      </c>
      <c r="C458" s="2" t="s">
        <v>114</v>
      </c>
      <c r="D458" s="2" t="s">
        <v>115</v>
      </c>
      <c r="E458" s="2">
        <v>2023</v>
      </c>
      <c r="F458" s="2" t="s">
        <v>203</v>
      </c>
      <c r="G458" s="2" t="s">
        <v>3095</v>
      </c>
      <c r="H458" s="2" t="s">
        <v>3092</v>
      </c>
      <c r="I458" s="1" t="s">
        <v>14</v>
      </c>
      <c r="J458" s="1" t="s">
        <v>4828</v>
      </c>
      <c r="K458" s="17"/>
      <c r="L458" s="54">
        <v>0.16</v>
      </c>
      <c r="M458" s="39"/>
      <c r="N458" s="39"/>
      <c r="O458" s="39">
        <v>99.95</v>
      </c>
      <c r="P458" s="39"/>
      <c r="Q458" s="39"/>
      <c r="R458" s="39"/>
      <c r="S458" s="39"/>
      <c r="T458" s="39"/>
      <c r="U458" s="39"/>
      <c r="V458" s="39"/>
      <c r="W458" s="92"/>
    </row>
    <row r="459" spans="1:23" s="79" customFormat="1" ht="51" x14ac:dyDescent="0.2">
      <c r="A459" s="1" t="s">
        <v>113</v>
      </c>
      <c r="B459" s="2" t="s">
        <v>38</v>
      </c>
      <c r="C459" s="2" t="s">
        <v>114</v>
      </c>
      <c r="D459" s="2" t="s">
        <v>115</v>
      </c>
      <c r="E459" s="2">
        <v>2023</v>
      </c>
      <c r="F459" s="2" t="s">
        <v>211</v>
      </c>
      <c r="G459" s="2" t="s">
        <v>3095</v>
      </c>
      <c r="H459" s="2" t="s">
        <v>3092</v>
      </c>
      <c r="I459" s="1" t="s">
        <v>14</v>
      </c>
      <c r="J459" s="1" t="s">
        <v>4829</v>
      </c>
      <c r="K459" s="17"/>
      <c r="L459" s="54">
        <v>0.16980000000000001</v>
      </c>
      <c r="M459" s="39"/>
      <c r="N459" s="39"/>
      <c r="O459" s="39">
        <v>68.66</v>
      </c>
      <c r="P459" s="39"/>
      <c r="Q459" s="39"/>
      <c r="R459" s="39"/>
      <c r="S459" s="39"/>
      <c r="T459" s="39"/>
      <c r="U459" s="39"/>
      <c r="V459" s="39"/>
      <c r="W459" s="92"/>
    </row>
    <row r="460" spans="1:23" s="79" customFormat="1" ht="51" x14ac:dyDescent="0.2">
      <c r="A460" s="1" t="s">
        <v>113</v>
      </c>
      <c r="B460" s="2" t="s">
        <v>38</v>
      </c>
      <c r="C460" s="2" t="s">
        <v>114</v>
      </c>
      <c r="D460" s="2" t="s">
        <v>115</v>
      </c>
      <c r="E460" s="2">
        <v>2023</v>
      </c>
      <c r="F460" s="2" t="s">
        <v>221</v>
      </c>
      <c r="G460" s="2" t="s">
        <v>3095</v>
      </c>
      <c r="H460" s="2" t="s">
        <v>3092</v>
      </c>
      <c r="I460" s="1" t="s">
        <v>14</v>
      </c>
      <c r="J460" s="1" t="s">
        <v>4830</v>
      </c>
      <c r="K460" s="17"/>
      <c r="L460" s="54">
        <v>0.1648</v>
      </c>
      <c r="M460" s="39"/>
      <c r="N460" s="39"/>
      <c r="O460" s="39">
        <v>110</v>
      </c>
      <c r="P460" s="39"/>
      <c r="Q460" s="39"/>
      <c r="R460" s="39"/>
      <c r="S460" s="39"/>
      <c r="T460" s="39"/>
      <c r="U460" s="39"/>
      <c r="V460" s="39"/>
      <c r="W460" s="92"/>
    </row>
    <row r="461" spans="1:23" s="79" customFormat="1" ht="51" x14ac:dyDescent="0.2">
      <c r="A461" s="1" t="s">
        <v>113</v>
      </c>
      <c r="B461" s="2" t="s">
        <v>38</v>
      </c>
      <c r="C461" s="2" t="s">
        <v>114</v>
      </c>
      <c r="D461" s="2" t="s">
        <v>115</v>
      </c>
      <c r="E461" s="2">
        <v>2023</v>
      </c>
      <c r="F461" s="2" t="s">
        <v>256</v>
      </c>
      <c r="G461" s="2" t="s">
        <v>3095</v>
      </c>
      <c r="H461" s="2" t="s">
        <v>3092</v>
      </c>
      <c r="I461" s="1" t="s">
        <v>14</v>
      </c>
      <c r="J461" s="1" t="s">
        <v>4831</v>
      </c>
      <c r="K461" s="17"/>
      <c r="L461" s="54">
        <v>0.17299999999999999</v>
      </c>
      <c r="M461" s="39"/>
      <c r="N461" s="39"/>
      <c r="O461" s="39">
        <v>92.3</v>
      </c>
      <c r="P461" s="39"/>
      <c r="Q461" s="39"/>
      <c r="R461" s="39"/>
      <c r="S461" s="39"/>
      <c r="T461" s="39"/>
      <c r="U461" s="39"/>
      <c r="V461" s="39"/>
      <c r="W461" s="92"/>
    </row>
    <row r="462" spans="1:23" s="79" customFormat="1" ht="51" x14ac:dyDescent="0.2">
      <c r="A462" s="1" t="s">
        <v>113</v>
      </c>
      <c r="B462" s="2" t="s">
        <v>38</v>
      </c>
      <c r="C462" s="2" t="s">
        <v>114</v>
      </c>
      <c r="D462" s="2" t="s">
        <v>115</v>
      </c>
      <c r="E462" s="2">
        <v>2023</v>
      </c>
      <c r="F462" s="2" t="s">
        <v>276</v>
      </c>
      <c r="G462" s="2" t="s">
        <v>3095</v>
      </c>
      <c r="H462" s="2" t="s">
        <v>3092</v>
      </c>
      <c r="I462" s="1" t="s">
        <v>14</v>
      </c>
      <c r="J462" s="1" t="s">
        <v>4832</v>
      </c>
      <c r="K462" s="17"/>
      <c r="L462" s="54">
        <v>0.17100000000000001</v>
      </c>
      <c r="M462" s="39"/>
      <c r="N462" s="39"/>
      <c r="O462" s="39">
        <v>83.52</v>
      </c>
      <c r="P462" s="39"/>
      <c r="Q462" s="39"/>
      <c r="R462" s="39"/>
      <c r="S462" s="39"/>
      <c r="T462" s="39"/>
      <c r="U462" s="39"/>
      <c r="V462" s="39"/>
      <c r="W462" s="92"/>
    </row>
    <row r="463" spans="1:23" s="79" customFormat="1" ht="51" x14ac:dyDescent="0.2">
      <c r="A463" s="1" t="s">
        <v>113</v>
      </c>
      <c r="B463" s="2" t="s">
        <v>38</v>
      </c>
      <c r="C463" s="2" t="s">
        <v>114</v>
      </c>
      <c r="D463" s="2" t="s">
        <v>115</v>
      </c>
      <c r="E463" s="2">
        <v>2023</v>
      </c>
      <c r="F463" s="2" t="s">
        <v>291</v>
      </c>
      <c r="G463" s="2" t="s">
        <v>3095</v>
      </c>
      <c r="H463" s="2" t="s">
        <v>3092</v>
      </c>
      <c r="I463" s="1" t="s">
        <v>14</v>
      </c>
      <c r="J463" s="1" t="s">
        <v>4833</v>
      </c>
      <c r="K463" s="17"/>
      <c r="L463" s="54">
        <v>0.17599999999999999</v>
      </c>
      <c r="M463" s="39"/>
      <c r="N463" s="39"/>
      <c r="O463" s="39">
        <v>108.9</v>
      </c>
      <c r="P463" s="39"/>
      <c r="Q463" s="39"/>
      <c r="R463" s="39"/>
      <c r="S463" s="39"/>
      <c r="T463" s="39"/>
      <c r="U463" s="39"/>
      <c r="V463" s="39"/>
      <c r="W463" s="92"/>
    </row>
    <row r="464" spans="1:23" s="79" customFormat="1" ht="25.5" x14ac:dyDescent="0.2">
      <c r="A464" s="1" t="s">
        <v>113</v>
      </c>
      <c r="B464" s="2" t="s">
        <v>38</v>
      </c>
      <c r="C464" s="2" t="s">
        <v>114</v>
      </c>
      <c r="D464" s="2" t="s">
        <v>115</v>
      </c>
      <c r="E464" s="2">
        <v>2023</v>
      </c>
      <c r="F464" s="2" t="s">
        <v>311</v>
      </c>
      <c r="G464" s="2" t="s">
        <v>3095</v>
      </c>
      <c r="H464" s="2" t="s">
        <v>3092</v>
      </c>
      <c r="I464" s="1" t="s">
        <v>14</v>
      </c>
      <c r="J464" s="1" t="s">
        <v>4834</v>
      </c>
      <c r="K464" s="17"/>
      <c r="L464" s="54">
        <v>0.17299999999999999</v>
      </c>
      <c r="M464" s="39"/>
      <c r="N464" s="39"/>
      <c r="O464" s="39">
        <v>61.43</v>
      </c>
      <c r="P464" s="39"/>
      <c r="Q464" s="39"/>
      <c r="R464" s="39"/>
      <c r="S464" s="39"/>
      <c r="T464" s="39"/>
      <c r="U464" s="39"/>
      <c r="V464" s="39"/>
      <c r="W464" s="92"/>
    </row>
    <row r="465" spans="1:24" s="79" customFormat="1" ht="51" x14ac:dyDescent="0.2">
      <c r="A465" s="1" t="s">
        <v>113</v>
      </c>
      <c r="B465" s="2" t="s">
        <v>38</v>
      </c>
      <c r="C465" s="2" t="s">
        <v>114</v>
      </c>
      <c r="D465" s="2" t="s">
        <v>115</v>
      </c>
      <c r="E465" s="2">
        <v>2023</v>
      </c>
      <c r="F465" s="2" t="s">
        <v>337</v>
      </c>
      <c r="G465" s="2" t="s">
        <v>3095</v>
      </c>
      <c r="H465" s="2" t="s">
        <v>3092</v>
      </c>
      <c r="I465" s="1" t="s">
        <v>14</v>
      </c>
      <c r="J465" s="1" t="s">
        <v>4835</v>
      </c>
      <c r="K465" s="17"/>
      <c r="L465" s="54">
        <v>0.17399999999999999</v>
      </c>
      <c r="M465" s="39"/>
      <c r="N465" s="39"/>
      <c r="O465" s="39">
        <v>55.77</v>
      </c>
      <c r="P465" s="39"/>
      <c r="Q465" s="39"/>
      <c r="R465" s="39"/>
      <c r="S465" s="39"/>
      <c r="T465" s="39"/>
      <c r="U465" s="39"/>
      <c r="V465" s="39"/>
      <c r="W465" s="92"/>
    </row>
    <row r="466" spans="1:24" s="79" customFormat="1" ht="63.75" x14ac:dyDescent="0.2">
      <c r="A466" s="1" t="s">
        <v>113</v>
      </c>
      <c r="B466" s="2" t="s">
        <v>38</v>
      </c>
      <c r="C466" s="2" t="s">
        <v>114</v>
      </c>
      <c r="D466" s="2" t="s">
        <v>115</v>
      </c>
      <c r="E466" s="2">
        <v>2023</v>
      </c>
      <c r="F466" s="2" t="s">
        <v>364</v>
      </c>
      <c r="G466" s="2" t="s">
        <v>3095</v>
      </c>
      <c r="H466" s="2" t="s">
        <v>3092</v>
      </c>
      <c r="I466" s="1" t="s">
        <v>14</v>
      </c>
      <c r="J466" s="1" t="s">
        <v>4836</v>
      </c>
      <c r="K466" s="17"/>
      <c r="L466" s="54">
        <v>0.16800000000000001</v>
      </c>
      <c r="M466" s="39"/>
      <c r="N466" s="39"/>
      <c r="O466" s="39">
        <f>50.48+40.12</f>
        <v>90.6</v>
      </c>
      <c r="P466" s="39"/>
      <c r="Q466" s="39"/>
      <c r="R466" s="39"/>
      <c r="S466" s="39"/>
      <c r="T466" s="39"/>
      <c r="U466" s="39"/>
      <c r="V466" s="39"/>
      <c r="W466" s="92"/>
    </row>
    <row r="467" spans="1:24" s="79" customFormat="1" ht="38.25" x14ac:dyDescent="0.2">
      <c r="A467" s="1" t="s">
        <v>113</v>
      </c>
      <c r="B467" s="2" t="s">
        <v>38</v>
      </c>
      <c r="C467" s="2" t="s">
        <v>114</v>
      </c>
      <c r="D467" s="2" t="s">
        <v>115</v>
      </c>
      <c r="E467" s="2">
        <v>2023</v>
      </c>
      <c r="F467" s="2" t="s">
        <v>388</v>
      </c>
      <c r="G467" s="2" t="s">
        <v>3095</v>
      </c>
      <c r="H467" s="2" t="s">
        <v>3092</v>
      </c>
      <c r="I467" s="1" t="s">
        <v>14</v>
      </c>
      <c r="J467" s="1" t="s">
        <v>4837</v>
      </c>
      <c r="K467" s="17"/>
      <c r="L467" s="82">
        <v>0.17</v>
      </c>
      <c r="M467" s="73"/>
      <c r="N467" s="73"/>
      <c r="O467" s="73">
        <v>81.400000000000006</v>
      </c>
      <c r="P467" s="73"/>
      <c r="Q467" s="73"/>
      <c r="R467" s="73"/>
      <c r="S467" s="73"/>
      <c r="T467" s="73"/>
      <c r="U467" s="73"/>
      <c r="V467" s="73"/>
      <c r="W467" s="94"/>
      <c r="X467"/>
    </row>
    <row r="468" spans="1:24" s="79" customFormat="1" ht="89.25" x14ac:dyDescent="0.2">
      <c r="A468" s="1" t="s">
        <v>360</v>
      </c>
      <c r="B468" s="2" t="s">
        <v>196</v>
      </c>
      <c r="C468" s="2" t="s">
        <v>361</v>
      </c>
      <c r="D468" s="2" t="s">
        <v>325</v>
      </c>
      <c r="E468" s="2">
        <v>2023</v>
      </c>
      <c r="F468" s="2" t="s">
        <v>337</v>
      </c>
      <c r="G468" s="2" t="s">
        <v>3092</v>
      </c>
      <c r="H468" s="2" t="s">
        <v>3092</v>
      </c>
      <c r="I468" s="1" t="s">
        <v>4838</v>
      </c>
      <c r="J468" s="1" t="s">
        <v>4839</v>
      </c>
      <c r="K468" s="17"/>
      <c r="L468" s="54">
        <v>9.35E-2</v>
      </c>
      <c r="M468" s="39"/>
      <c r="N468" s="39"/>
      <c r="O468" s="39">
        <v>1759.3</v>
      </c>
      <c r="P468" s="39"/>
      <c r="Q468" s="39"/>
      <c r="R468" s="39"/>
      <c r="S468" s="39"/>
      <c r="T468" s="39"/>
      <c r="U468" s="39"/>
      <c r="V468" s="39"/>
      <c r="W468" s="92" t="s">
        <v>1699</v>
      </c>
    </row>
    <row r="469" spans="1:24" s="79" customFormat="1" ht="25.5" x14ac:dyDescent="0.2">
      <c r="A469" s="1" t="s">
        <v>135</v>
      </c>
      <c r="B469" s="2" t="s">
        <v>38</v>
      </c>
      <c r="C469" s="2" t="s">
        <v>136</v>
      </c>
      <c r="D469" s="2" t="s">
        <v>136</v>
      </c>
      <c r="E469" s="2">
        <v>2023</v>
      </c>
      <c r="F469" s="2" t="s">
        <v>13</v>
      </c>
      <c r="G469" s="2" t="s">
        <v>3095</v>
      </c>
      <c r="H469" s="2" t="s">
        <v>3092</v>
      </c>
      <c r="I469" s="1" t="s">
        <v>14</v>
      </c>
      <c r="J469" s="1" t="s">
        <v>4840</v>
      </c>
      <c r="K469" s="17"/>
      <c r="L469" s="54">
        <v>0.217</v>
      </c>
      <c r="M469" s="39"/>
      <c r="N469" s="39"/>
      <c r="O469" s="39">
        <v>344.65199999999999</v>
      </c>
      <c r="P469" s="39"/>
      <c r="Q469" s="39"/>
      <c r="R469" s="39"/>
      <c r="S469" s="39"/>
      <c r="T469" s="39"/>
      <c r="U469" s="39"/>
      <c r="V469" s="39"/>
      <c r="W469" s="92"/>
    </row>
    <row r="470" spans="1:24" s="79" customFormat="1" ht="25.5" x14ac:dyDescent="0.2">
      <c r="A470" s="1" t="s">
        <v>135</v>
      </c>
      <c r="B470" s="2" t="s">
        <v>38</v>
      </c>
      <c r="C470" s="2" t="s">
        <v>136</v>
      </c>
      <c r="D470" s="2" t="s">
        <v>136</v>
      </c>
      <c r="E470" s="2">
        <v>2023</v>
      </c>
      <c r="F470" s="2" t="s">
        <v>188</v>
      </c>
      <c r="G470" s="2" t="s">
        <v>3095</v>
      </c>
      <c r="H470" s="2" t="s">
        <v>3092</v>
      </c>
      <c r="I470" s="1" t="s">
        <v>14</v>
      </c>
      <c r="J470" s="1" t="s">
        <v>4841</v>
      </c>
      <c r="K470" s="17"/>
      <c r="L470" s="54">
        <v>0.21299999999999999</v>
      </c>
      <c r="M470" s="39"/>
      <c r="N470" s="39"/>
      <c r="O470" s="39">
        <v>353.43</v>
      </c>
      <c r="P470" s="39"/>
      <c r="Q470" s="39"/>
      <c r="R470" s="39"/>
      <c r="S470" s="39"/>
      <c r="T470" s="39"/>
      <c r="U470" s="39"/>
      <c r="V470" s="39"/>
      <c r="W470" s="92"/>
    </row>
    <row r="471" spans="1:24" s="79" customFormat="1" ht="25.5" x14ac:dyDescent="0.2">
      <c r="A471" s="1" t="s">
        <v>135</v>
      </c>
      <c r="B471" s="2" t="s">
        <v>38</v>
      </c>
      <c r="C471" s="2" t="s">
        <v>136</v>
      </c>
      <c r="D471" s="2" t="s">
        <v>136</v>
      </c>
      <c r="E471" s="2">
        <v>2023</v>
      </c>
      <c r="F471" s="2" t="s">
        <v>203</v>
      </c>
      <c r="G471" s="2" t="s">
        <v>3095</v>
      </c>
      <c r="H471" s="2" t="s">
        <v>3092</v>
      </c>
      <c r="I471" s="1" t="s">
        <v>14</v>
      </c>
      <c r="J471" s="1" t="s">
        <v>4842</v>
      </c>
      <c r="K471" s="17"/>
      <c r="L471" s="54">
        <v>0.22500000000000001</v>
      </c>
      <c r="M471" s="39"/>
      <c r="N471" s="39"/>
      <c r="O471" s="39">
        <v>339.96600000000001</v>
      </c>
      <c r="P471" s="39"/>
      <c r="Q471" s="39"/>
      <c r="R471" s="39"/>
      <c r="S471" s="39"/>
      <c r="T471" s="39"/>
      <c r="U471" s="39"/>
      <c r="V471" s="39"/>
      <c r="W471" s="92"/>
    </row>
    <row r="472" spans="1:24" s="79" customFormat="1" ht="25.5" x14ac:dyDescent="0.2">
      <c r="A472" s="1" t="s">
        <v>135</v>
      </c>
      <c r="B472" s="2" t="s">
        <v>38</v>
      </c>
      <c r="C472" s="2" t="s">
        <v>136</v>
      </c>
      <c r="D472" s="2" t="s">
        <v>136</v>
      </c>
      <c r="E472" s="2">
        <v>2023</v>
      </c>
      <c r="F472" s="2" t="s">
        <v>211</v>
      </c>
      <c r="G472" s="2" t="s">
        <v>3095</v>
      </c>
      <c r="H472" s="2" t="s">
        <v>3092</v>
      </c>
      <c r="I472" s="1" t="s">
        <v>14</v>
      </c>
      <c r="J472" s="1" t="s">
        <v>4843</v>
      </c>
      <c r="K472" s="17"/>
      <c r="L472" s="54">
        <v>0.217</v>
      </c>
      <c r="M472" s="39"/>
      <c r="N472" s="39"/>
      <c r="O472" s="39">
        <v>592.55899999999997</v>
      </c>
      <c r="P472" s="39"/>
      <c r="Q472" s="39"/>
      <c r="R472" s="39"/>
      <c r="S472" s="39"/>
      <c r="T472" s="39"/>
      <c r="U472" s="39"/>
      <c r="V472" s="39"/>
      <c r="W472" s="92"/>
    </row>
    <row r="473" spans="1:24" s="79" customFormat="1" ht="25.5" x14ac:dyDescent="0.2">
      <c r="A473" s="1" t="s">
        <v>135</v>
      </c>
      <c r="B473" s="2" t="s">
        <v>38</v>
      </c>
      <c r="C473" s="2" t="s">
        <v>136</v>
      </c>
      <c r="D473" s="2" t="s">
        <v>136</v>
      </c>
      <c r="E473" s="2">
        <v>2023</v>
      </c>
      <c r="F473" s="2" t="s">
        <v>221</v>
      </c>
      <c r="G473" s="2" t="s">
        <v>3095</v>
      </c>
      <c r="H473" s="2" t="s">
        <v>3092</v>
      </c>
      <c r="I473" s="1" t="s">
        <v>14</v>
      </c>
      <c r="J473" s="1" t="s">
        <v>4844</v>
      </c>
      <c r="K473" s="17"/>
      <c r="L473" s="54">
        <v>0.25700000000000001</v>
      </c>
      <c r="M473" s="39"/>
      <c r="N473" s="39"/>
      <c r="O473" s="39">
        <v>567</v>
      </c>
      <c r="P473" s="39"/>
      <c r="Q473" s="39"/>
      <c r="R473" s="39"/>
      <c r="S473" s="39"/>
      <c r="T473" s="39"/>
      <c r="U473" s="39"/>
      <c r="V473" s="39"/>
      <c r="W473" s="92"/>
    </row>
    <row r="474" spans="1:24" s="79" customFormat="1" ht="25.5" x14ac:dyDescent="0.2">
      <c r="A474" s="1" t="s">
        <v>135</v>
      </c>
      <c r="B474" s="2" t="s">
        <v>38</v>
      </c>
      <c r="C474" s="2" t="s">
        <v>136</v>
      </c>
      <c r="D474" s="2" t="s">
        <v>136</v>
      </c>
      <c r="E474" s="2">
        <v>2023</v>
      </c>
      <c r="F474" s="2" t="s">
        <v>256</v>
      </c>
      <c r="G474" s="2" t="s">
        <v>3095</v>
      </c>
      <c r="H474" s="2" t="s">
        <v>3092</v>
      </c>
      <c r="I474" s="1" t="s">
        <v>14</v>
      </c>
      <c r="J474" s="1" t="s">
        <v>4845</v>
      </c>
      <c r="K474" s="17"/>
      <c r="L474" s="54">
        <v>0.26400000000000001</v>
      </c>
      <c r="M474" s="39"/>
      <c r="N474" s="39"/>
      <c r="O474" s="39">
        <v>585.65499999999997</v>
      </c>
      <c r="P474" s="39"/>
      <c r="Q474" s="39"/>
      <c r="R474" s="39"/>
      <c r="S474" s="39"/>
      <c r="T474" s="39"/>
      <c r="U474" s="39"/>
      <c r="V474" s="39"/>
      <c r="W474" s="92"/>
    </row>
    <row r="475" spans="1:24" s="79" customFormat="1" ht="63.75" x14ac:dyDescent="0.2">
      <c r="A475" s="1" t="s">
        <v>2378</v>
      </c>
      <c r="B475" s="2" t="s">
        <v>2379</v>
      </c>
      <c r="C475" s="2" t="s">
        <v>136</v>
      </c>
      <c r="D475" s="2" t="s">
        <v>136</v>
      </c>
      <c r="E475" s="2">
        <v>2023</v>
      </c>
      <c r="F475" s="2" t="s">
        <v>291</v>
      </c>
      <c r="G475" s="2" t="s">
        <v>3092</v>
      </c>
      <c r="H475" s="2" t="s">
        <v>3092</v>
      </c>
      <c r="I475" s="1" t="s">
        <v>4846</v>
      </c>
      <c r="J475" s="1" t="s">
        <v>4847</v>
      </c>
      <c r="K475" s="17"/>
      <c r="L475" s="54">
        <v>0.25900000000000001</v>
      </c>
      <c r="M475" s="39"/>
      <c r="N475" s="39"/>
      <c r="O475" s="39">
        <v>3366.35</v>
      </c>
      <c r="P475" s="39"/>
      <c r="Q475" s="39"/>
      <c r="R475" s="39"/>
      <c r="S475" s="39"/>
      <c r="T475" s="39"/>
      <c r="U475" s="39"/>
      <c r="V475" s="39"/>
      <c r="W475" s="92"/>
    </row>
    <row r="476" spans="1:24" s="79" customFormat="1" ht="114.75" x14ac:dyDescent="0.2">
      <c r="A476" s="1" t="s">
        <v>329</v>
      </c>
      <c r="B476" s="2" t="s">
        <v>196</v>
      </c>
      <c r="C476" s="2" t="s">
        <v>330</v>
      </c>
      <c r="D476" s="2" t="s">
        <v>328</v>
      </c>
      <c r="E476" s="2">
        <v>2023</v>
      </c>
      <c r="F476" s="2" t="s">
        <v>291</v>
      </c>
      <c r="G476" s="2" t="s">
        <v>3093</v>
      </c>
      <c r="H476" s="2" t="s">
        <v>3092</v>
      </c>
      <c r="I476" s="1" t="s">
        <v>14</v>
      </c>
      <c r="J476" s="1" t="s">
        <v>4848</v>
      </c>
      <c r="K476" s="17"/>
      <c r="L476" s="54">
        <v>0.3</v>
      </c>
      <c r="M476" s="39"/>
      <c r="N476" s="39"/>
      <c r="O476" s="39">
        <v>1578</v>
      </c>
      <c r="P476" s="39"/>
      <c r="Q476" s="39"/>
      <c r="R476" s="39"/>
      <c r="S476" s="39"/>
      <c r="T476" s="39"/>
      <c r="U476" s="39"/>
      <c r="V476" s="39"/>
      <c r="W476" s="92"/>
    </row>
    <row r="477" spans="1:24" s="79" customFormat="1" ht="76.5" x14ac:dyDescent="0.2">
      <c r="A477" s="1" t="s">
        <v>329</v>
      </c>
      <c r="B477" s="2" t="s">
        <v>196</v>
      </c>
      <c r="C477" s="2" t="s">
        <v>330</v>
      </c>
      <c r="D477" s="2" t="s">
        <v>328</v>
      </c>
      <c r="E477" s="2">
        <v>2023</v>
      </c>
      <c r="F477" s="2" t="s">
        <v>311</v>
      </c>
      <c r="G477" s="2" t="s">
        <v>3092</v>
      </c>
      <c r="H477" s="2" t="s">
        <v>3092</v>
      </c>
      <c r="I477" s="1" t="s">
        <v>4849</v>
      </c>
      <c r="J477" s="1" t="s">
        <v>4850</v>
      </c>
      <c r="K477" s="17"/>
      <c r="L477" s="54"/>
      <c r="M477" s="39"/>
      <c r="N477" s="39"/>
      <c r="O477" s="3"/>
      <c r="P477" s="39"/>
      <c r="Q477" s="39"/>
      <c r="R477" s="39"/>
      <c r="S477" s="39"/>
      <c r="T477" s="39"/>
      <c r="U477" s="39"/>
      <c r="V477" s="39"/>
      <c r="W477" s="92" t="s">
        <v>4851</v>
      </c>
    </row>
    <row r="478" spans="1:24" s="79" customFormat="1" ht="63.75" x14ac:dyDescent="0.2">
      <c r="A478" s="1" t="s">
        <v>329</v>
      </c>
      <c r="B478" s="2" t="s">
        <v>196</v>
      </c>
      <c r="C478" s="2" t="s">
        <v>330</v>
      </c>
      <c r="D478" s="2" t="s">
        <v>328</v>
      </c>
      <c r="E478" s="2">
        <v>2023</v>
      </c>
      <c r="F478" s="2" t="s">
        <v>337</v>
      </c>
      <c r="G478" s="2" t="s">
        <v>3092</v>
      </c>
      <c r="H478" s="2" t="s">
        <v>3093</v>
      </c>
      <c r="I478" s="1" t="s">
        <v>4852</v>
      </c>
      <c r="J478" s="1" t="s">
        <v>14</v>
      </c>
      <c r="K478" s="17"/>
      <c r="L478" s="54"/>
      <c r="M478" s="39"/>
      <c r="N478" s="39"/>
      <c r="O478" s="39"/>
      <c r="P478" s="39"/>
      <c r="Q478" s="39"/>
      <c r="R478" s="39"/>
      <c r="S478" s="39"/>
      <c r="T478" s="39"/>
      <c r="U478" s="39"/>
      <c r="V478" s="39"/>
      <c r="W478" s="92" t="s">
        <v>1683</v>
      </c>
    </row>
    <row r="479" spans="1:24" s="79" customFormat="1" ht="38.25" x14ac:dyDescent="0.2">
      <c r="A479" s="1" t="s">
        <v>4853</v>
      </c>
      <c r="B479" s="2" t="s">
        <v>196</v>
      </c>
      <c r="C479" s="2" t="s">
        <v>442</v>
      </c>
      <c r="D479" s="2" t="s">
        <v>442</v>
      </c>
      <c r="E479" s="2">
        <v>2023</v>
      </c>
      <c r="F479" s="2" t="s">
        <v>221</v>
      </c>
      <c r="G479" s="2" t="s">
        <v>3093</v>
      </c>
      <c r="H479" s="2" t="s">
        <v>3092</v>
      </c>
      <c r="I479" s="1" t="s">
        <v>14</v>
      </c>
      <c r="J479" s="1" t="s">
        <v>4854</v>
      </c>
      <c r="K479" s="17"/>
      <c r="L479" s="54">
        <v>0.77</v>
      </c>
      <c r="M479" s="39"/>
      <c r="N479" s="39"/>
      <c r="O479" s="3"/>
      <c r="P479" s="39"/>
      <c r="Q479" s="39"/>
      <c r="R479" s="39">
        <f>42*0.8</f>
        <v>33.6</v>
      </c>
      <c r="S479" s="39"/>
      <c r="T479" s="39"/>
      <c r="U479" s="39"/>
      <c r="V479" s="39"/>
      <c r="W479" s="92" t="s">
        <v>1680</v>
      </c>
    </row>
    <row r="480" spans="1:24" s="79" customFormat="1" ht="25.5" x14ac:dyDescent="0.2">
      <c r="A480" s="1" t="s">
        <v>4853</v>
      </c>
      <c r="B480" s="2" t="s">
        <v>196</v>
      </c>
      <c r="C480" s="2" t="s">
        <v>442</v>
      </c>
      <c r="D480" s="2" t="s">
        <v>442</v>
      </c>
      <c r="E480" s="2">
        <v>2023</v>
      </c>
      <c r="F480" s="2" t="s">
        <v>256</v>
      </c>
      <c r="G480" s="2" t="s">
        <v>3092</v>
      </c>
      <c r="H480" s="2" t="s">
        <v>3093</v>
      </c>
      <c r="I480" s="1" t="s">
        <v>4855</v>
      </c>
      <c r="J480" s="1" t="s">
        <v>14</v>
      </c>
      <c r="K480" s="17"/>
      <c r="L480" s="54"/>
      <c r="M480" s="3"/>
      <c r="N480" s="39"/>
      <c r="O480" s="39"/>
      <c r="P480" s="39"/>
      <c r="Q480" s="39"/>
      <c r="R480" s="39"/>
      <c r="S480" s="39"/>
      <c r="T480" s="39"/>
      <c r="U480" s="39"/>
      <c r="V480" s="39"/>
      <c r="W480" s="92" t="s">
        <v>1695</v>
      </c>
    </row>
    <row r="481" spans="1:23" s="79" customFormat="1" ht="25.5" x14ac:dyDescent="0.2">
      <c r="A481" s="1" t="s">
        <v>4853</v>
      </c>
      <c r="B481" s="2" t="s">
        <v>196</v>
      </c>
      <c r="C481" s="2" t="s">
        <v>442</v>
      </c>
      <c r="D481" s="2" t="s">
        <v>442</v>
      </c>
      <c r="E481" s="2">
        <v>2023</v>
      </c>
      <c r="F481" s="2" t="s">
        <v>276</v>
      </c>
      <c r="G481" s="2" t="s">
        <v>3092</v>
      </c>
      <c r="H481" s="2" t="s">
        <v>3093</v>
      </c>
      <c r="I481" s="1" t="s">
        <v>4856</v>
      </c>
      <c r="J481" s="1" t="s">
        <v>14</v>
      </c>
      <c r="K481" s="17"/>
      <c r="L481" s="54"/>
      <c r="M481" s="39"/>
      <c r="N481" s="39"/>
      <c r="O481" s="39"/>
      <c r="P481" s="39"/>
      <c r="Q481" s="39"/>
      <c r="R481" s="39"/>
      <c r="S481" s="39"/>
      <c r="T481" s="39"/>
      <c r="U481" s="39"/>
      <c r="V481" s="39"/>
      <c r="W481" s="92" t="s">
        <v>1695</v>
      </c>
    </row>
    <row r="482" spans="1:23" s="79" customFormat="1" ht="25.5" x14ac:dyDescent="0.2">
      <c r="A482" s="1" t="s">
        <v>4853</v>
      </c>
      <c r="B482" s="2" t="s">
        <v>196</v>
      </c>
      <c r="C482" s="2" t="s">
        <v>442</v>
      </c>
      <c r="D482" s="2" t="s">
        <v>442</v>
      </c>
      <c r="E482" s="2">
        <v>2023</v>
      </c>
      <c r="F482" s="2" t="s">
        <v>291</v>
      </c>
      <c r="G482" s="2" t="s">
        <v>3092</v>
      </c>
      <c r="H482" s="2" t="s">
        <v>3092</v>
      </c>
      <c r="I482" s="1" t="s">
        <v>4857</v>
      </c>
      <c r="J482" s="1" t="s">
        <v>4858</v>
      </c>
      <c r="K482" s="17"/>
      <c r="L482" s="80">
        <v>0.59</v>
      </c>
      <c r="M482" s="81"/>
      <c r="N482" s="15"/>
      <c r="O482" s="15"/>
      <c r="P482" s="15"/>
      <c r="Q482" s="15"/>
      <c r="R482" s="15">
        <v>123.08</v>
      </c>
      <c r="S482" s="15"/>
      <c r="T482" s="15"/>
      <c r="U482" s="15"/>
      <c r="V482" s="81"/>
      <c r="W482" s="92"/>
    </row>
    <row r="483" spans="1:23" s="79" customFormat="1" ht="25.5" x14ac:dyDescent="0.2">
      <c r="A483" s="1" t="s">
        <v>4853</v>
      </c>
      <c r="B483" s="2" t="s">
        <v>196</v>
      </c>
      <c r="C483" s="2" t="s">
        <v>442</v>
      </c>
      <c r="D483" s="2" t="s">
        <v>442</v>
      </c>
      <c r="E483" s="2">
        <v>2023</v>
      </c>
      <c r="F483" s="2" t="s">
        <v>311</v>
      </c>
      <c r="G483" s="2" t="s">
        <v>3092</v>
      </c>
      <c r="H483" s="2" t="s">
        <v>3092</v>
      </c>
      <c r="I483" s="1" t="s">
        <v>4859</v>
      </c>
      <c r="J483" s="1" t="s">
        <v>4860</v>
      </c>
      <c r="K483" s="17"/>
      <c r="L483" s="54">
        <v>0.60899999999999999</v>
      </c>
      <c r="M483" s="39"/>
      <c r="N483" s="39"/>
      <c r="O483" s="39"/>
      <c r="P483" s="39"/>
      <c r="Q483" s="39"/>
      <c r="R483" s="39">
        <v>63.34</v>
      </c>
      <c r="S483" s="39"/>
      <c r="T483" s="39"/>
      <c r="U483" s="39"/>
      <c r="V483" s="39"/>
      <c r="W483" s="92"/>
    </row>
    <row r="484" spans="1:23" s="79" customFormat="1" ht="38.25" x14ac:dyDescent="0.2">
      <c r="A484" s="1" t="s">
        <v>4853</v>
      </c>
      <c r="B484" s="2" t="s">
        <v>196</v>
      </c>
      <c r="C484" s="2" t="s">
        <v>442</v>
      </c>
      <c r="D484" s="2" t="s">
        <v>442</v>
      </c>
      <c r="E484" s="2">
        <v>2023</v>
      </c>
      <c r="F484" s="2" t="s">
        <v>337</v>
      </c>
      <c r="G484" s="2" t="s">
        <v>3092</v>
      </c>
      <c r="H484" s="2" t="s">
        <v>3093</v>
      </c>
      <c r="I484" s="1" t="s">
        <v>4861</v>
      </c>
      <c r="J484" s="1" t="s">
        <v>14</v>
      </c>
      <c r="K484" s="17"/>
      <c r="L484" s="54"/>
      <c r="M484" s="39"/>
      <c r="N484" s="39"/>
      <c r="O484" s="39"/>
      <c r="P484" s="39"/>
      <c r="Q484" s="39"/>
      <c r="R484" s="39"/>
      <c r="S484" s="39"/>
      <c r="T484" s="39"/>
      <c r="U484" s="39"/>
      <c r="V484" s="39"/>
      <c r="W484" s="92" t="s">
        <v>1695</v>
      </c>
    </row>
    <row r="485" spans="1:23" s="79" customFormat="1" ht="25.5" x14ac:dyDescent="0.2">
      <c r="A485" s="1" t="s">
        <v>25</v>
      </c>
      <c r="B485" s="2" t="s">
        <v>16</v>
      </c>
      <c r="C485" s="2" t="s">
        <v>26</v>
      </c>
      <c r="D485" s="2" t="s">
        <v>27</v>
      </c>
      <c r="E485" s="2">
        <v>2023</v>
      </c>
      <c r="F485" s="2" t="s">
        <v>13</v>
      </c>
      <c r="G485" s="2" t="s">
        <v>3095</v>
      </c>
      <c r="H485" s="2" t="s">
        <v>3092</v>
      </c>
      <c r="I485" s="1" t="s">
        <v>14</v>
      </c>
      <c r="J485" s="1" t="s">
        <v>4862</v>
      </c>
      <c r="K485" s="17"/>
      <c r="L485" s="53" t="s">
        <v>1670</v>
      </c>
      <c r="M485" s="39"/>
      <c r="N485" s="39"/>
      <c r="O485" s="39"/>
      <c r="P485" s="39"/>
      <c r="Q485" s="39"/>
      <c r="R485" s="39"/>
      <c r="S485" s="39"/>
      <c r="T485" s="39">
        <f>2994.03*100/20</f>
        <v>14970.15</v>
      </c>
      <c r="U485" s="3"/>
      <c r="V485" s="39"/>
      <c r="W485" s="92" t="s">
        <v>1770</v>
      </c>
    </row>
    <row r="486" spans="1:23" s="79" customFormat="1" ht="51" x14ac:dyDescent="0.2">
      <c r="A486" s="1" t="s">
        <v>25</v>
      </c>
      <c r="B486" s="2" t="s">
        <v>16</v>
      </c>
      <c r="C486" s="2" t="s">
        <v>26</v>
      </c>
      <c r="D486" s="2" t="s">
        <v>27</v>
      </c>
      <c r="E486" s="2">
        <v>2023</v>
      </c>
      <c r="F486" s="2" t="s">
        <v>188</v>
      </c>
      <c r="G486" s="2" t="s">
        <v>3095</v>
      </c>
      <c r="H486" s="2" t="s">
        <v>3092</v>
      </c>
      <c r="I486" s="1" t="s">
        <v>14</v>
      </c>
      <c r="J486" s="1" t="s">
        <v>4863</v>
      </c>
      <c r="K486" s="17"/>
      <c r="L486" s="54" t="s">
        <v>1670</v>
      </c>
      <c r="M486" s="39"/>
      <c r="N486" s="39"/>
      <c r="O486" s="3"/>
      <c r="P486" s="39"/>
      <c r="Q486" s="39"/>
      <c r="R486" s="39"/>
      <c r="S486" s="39">
        <v>553</v>
      </c>
      <c r="T486" s="39">
        <f>3118*100/20+77*100/20</f>
        <v>15975</v>
      </c>
      <c r="U486" s="3"/>
      <c r="V486" s="39"/>
      <c r="W486" s="92" t="s">
        <v>3085</v>
      </c>
    </row>
    <row r="487" spans="1:23" s="79" customFormat="1" ht="63.75" x14ac:dyDescent="0.2">
      <c r="A487" s="1" t="s">
        <v>25</v>
      </c>
      <c r="B487" s="2" t="s">
        <v>16</v>
      </c>
      <c r="C487" s="2" t="s">
        <v>26</v>
      </c>
      <c r="D487" s="2" t="s">
        <v>27</v>
      </c>
      <c r="E487" s="2">
        <v>2023</v>
      </c>
      <c r="F487" s="2" t="s">
        <v>203</v>
      </c>
      <c r="G487" s="2" t="s">
        <v>3095</v>
      </c>
      <c r="H487" s="2" t="s">
        <v>3092</v>
      </c>
      <c r="I487" s="1" t="s">
        <v>14</v>
      </c>
      <c r="J487" s="1" t="s">
        <v>4864</v>
      </c>
      <c r="K487" s="17"/>
      <c r="L487" s="54" t="s">
        <v>1670</v>
      </c>
      <c r="M487" s="39"/>
      <c r="N487" s="39"/>
      <c r="O487" s="39"/>
      <c r="P487" s="39"/>
      <c r="Q487" s="39"/>
      <c r="R487" s="39"/>
      <c r="S487" s="39"/>
      <c r="T487" s="39">
        <f>(3801+957)*100/20</f>
        <v>23790</v>
      </c>
      <c r="U487" s="39"/>
      <c r="V487" s="39"/>
      <c r="W487" s="92" t="s">
        <v>3085</v>
      </c>
    </row>
    <row r="488" spans="1:23" s="79" customFormat="1" ht="25.5" x14ac:dyDescent="0.2">
      <c r="A488" s="1" t="s">
        <v>25</v>
      </c>
      <c r="B488" s="2" t="s">
        <v>16</v>
      </c>
      <c r="C488" s="2" t="s">
        <v>26</v>
      </c>
      <c r="D488" s="2" t="s">
        <v>27</v>
      </c>
      <c r="E488" s="2">
        <v>2023</v>
      </c>
      <c r="F488" s="2" t="s">
        <v>211</v>
      </c>
      <c r="G488" s="2" t="s">
        <v>3095</v>
      </c>
      <c r="H488" s="2" t="s">
        <v>3092</v>
      </c>
      <c r="I488" s="1" t="s">
        <v>14</v>
      </c>
      <c r="J488" s="1" t="s">
        <v>4865</v>
      </c>
      <c r="K488" s="17"/>
      <c r="L488" s="54" t="s">
        <v>1670</v>
      </c>
      <c r="M488" s="39"/>
      <c r="N488" s="39"/>
      <c r="O488" s="39"/>
      <c r="P488" s="39"/>
      <c r="Q488" s="39"/>
      <c r="R488" s="39"/>
      <c r="S488" s="39"/>
      <c r="T488" s="39">
        <f>3721*100/20</f>
        <v>18605</v>
      </c>
      <c r="U488" s="39"/>
      <c r="V488" s="39"/>
      <c r="W488" s="92" t="s">
        <v>1770</v>
      </c>
    </row>
    <row r="489" spans="1:23" s="79" customFormat="1" ht="63.75" x14ac:dyDescent="0.2">
      <c r="A489" s="1" t="s">
        <v>25</v>
      </c>
      <c r="B489" s="2" t="s">
        <v>16</v>
      </c>
      <c r="C489" s="2" t="s">
        <v>26</v>
      </c>
      <c r="D489" s="2" t="s">
        <v>27</v>
      </c>
      <c r="E489" s="2">
        <v>2023</v>
      </c>
      <c r="F489" s="2" t="s">
        <v>221</v>
      </c>
      <c r="G489" s="2" t="s">
        <v>3095</v>
      </c>
      <c r="H489" s="2" t="s">
        <v>3092</v>
      </c>
      <c r="I489" s="1" t="s">
        <v>14</v>
      </c>
      <c r="J489" s="1" t="s">
        <v>4866</v>
      </c>
      <c r="K489" s="17"/>
      <c r="L489" s="54" t="s">
        <v>1670</v>
      </c>
      <c r="M489" s="39"/>
      <c r="N489" s="39"/>
      <c r="O489" s="39"/>
      <c r="P489" s="39"/>
      <c r="Q489" s="39"/>
      <c r="R489" s="39"/>
      <c r="S489" s="39"/>
      <c r="T489" s="39">
        <f>(507+3833)*100/20</f>
        <v>21700</v>
      </c>
      <c r="U489" s="39"/>
      <c r="V489" s="39"/>
      <c r="W489" s="92" t="s">
        <v>3085</v>
      </c>
    </row>
    <row r="490" spans="1:23" s="79" customFormat="1" ht="89.25" x14ac:dyDescent="0.2">
      <c r="A490" s="1" t="s">
        <v>25</v>
      </c>
      <c r="B490" s="2" t="s">
        <v>16</v>
      </c>
      <c r="C490" s="2" t="s">
        <v>26</v>
      </c>
      <c r="D490" s="2" t="s">
        <v>27</v>
      </c>
      <c r="E490" s="2">
        <v>2023</v>
      </c>
      <c r="F490" s="2" t="s">
        <v>256</v>
      </c>
      <c r="G490" s="2" t="s">
        <v>3095</v>
      </c>
      <c r="H490" s="2" t="s">
        <v>3092</v>
      </c>
      <c r="I490" s="1" t="s">
        <v>14</v>
      </c>
      <c r="J490" s="1" t="s">
        <v>4867</v>
      </c>
      <c r="K490" s="17"/>
      <c r="L490" s="54" t="s">
        <v>1670</v>
      </c>
      <c r="M490" s="39"/>
      <c r="N490" s="39"/>
      <c r="O490" s="39"/>
      <c r="P490" s="39"/>
      <c r="Q490" s="39"/>
      <c r="R490" s="39"/>
      <c r="S490" s="39"/>
      <c r="T490" s="39">
        <f>(1597+4487)*100/20</f>
        <v>30420</v>
      </c>
      <c r="U490" s="39"/>
      <c r="V490" s="39"/>
      <c r="W490" s="92" t="s">
        <v>3085</v>
      </c>
    </row>
    <row r="491" spans="1:23" s="79" customFormat="1" ht="63.75" x14ac:dyDescent="0.2">
      <c r="A491" s="1" t="s">
        <v>25</v>
      </c>
      <c r="B491" s="2" t="s">
        <v>16</v>
      </c>
      <c r="C491" s="2" t="s">
        <v>26</v>
      </c>
      <c r="D491" s="2" t="s">
        <v>27</v>
      </c>
      <c r="E491" s="2">
        <v>2023</v>
      </c>
      <c r="F491" s="2" t="s">
        <v>276</v>
      </c>
      <c r="G491" s="2" t="s">
        <v>3095</v>
      </c>
      <c r="H491" s="2" t="s">
        <v>3092</v>
      </c>
      <c r="I491" s="1" t="s">
        <v>14</v>
      </c>
      <c r="J491" s="1" t="s">
        <v>4868</v>
      </c>
      <c r="K491" s="17"/>
      <c r="L491" s="54" t="s">
        <v>1670</v>
      </c>
      <c r="M491" s="39"/>
      <c r="N491" s="39"/>
      <c r="O491" s="39"/>
      <c r="P491" s="39"/>
      <c r="Q491" s="39"/>
      <c r="R491" s="39"/>
      <c r="S491" s="39"/>
      <c r="T491" s="39">
        <f>(544.2+5596)*100/20</f>
        <v>30701</v>
      </c>
      <c r="U491" s="39"/>
      <c r="V491" s="39"/>
      <c r="W491" s="92" t="s">
        <v>3085</v>
      </c>
    </row>
    <row r="492" spans="1:23" s="79" customFormat="1" ht="25.5" x14ac:dyDescent="0.2">
      <c r="A492" s="1" t="s">
        <v>25</v>
      </c>
      <c r="B492" s="2" t="s">
        <v>16</v>
      </c>
      <c r="C492" s="2" t="s">
        <v>26</v>
      </c>
      <c r="D492" s="2" t="s">
        <v>27</v>
      </c>
      <c r="E492" s="2">
        <v>2023</v>
      </c>
      <c r="F492" s="2" t="s">
        <v>291</v>
      </c>
      <c r="G492" s="2" t="s">
        <v>3095</v>
      </c>
      <c r="H492" s="2" t="s">
        <v>3092</v>
      </c>
      <c r="I492" s="1" t="s">
        <v>14</v>
      </c>
      <c r="J492" s="1" t="s">
        <v>4869</v>
      </c>
      <c r="K492" s="17"/>
      <c r="L492" s="54" t="s">
        <v>1670</v>
      </c>
      <c r="M492" s="39"/>
      <c r="N492" s="39"/>
      <c r="O492" s="39"/>
      <c r="P492" s="39"/>
      <c r="Q492" s="39"/>
      <c r="R492" s="39"/>
      <c r="S492" s="39"/>
      <c r="T492" s="39">
        <f>3571*100/20</f>
        <v>17855</v>
      </c>
      <c r="U492" s="39"/>
      <c r="V492" s="39"/>
      <c r="W492" s="92" t="s">
        <v>1770</v>
      </c>
    </row>
    <row r="493" spans="1:23" s="79" customFormat="1" ht="38.25" x14ac:dyDescent="0.2">
      <c r="A493" s="1" t="s">
        <v>25</v>
      </c>
      <c r="B493" s="2" t="s">
        <v>16</v>
      </c>
      <c r="C493" s="2" t="s">
        <v>26</v>
      </c>
      <c r="D493" s="2" t="s">
        <v>27</v>
      </c>
      <c r="E493" s="2">
        <v>2023</v>
      </c>
      <c r="F493" s="2" t="s">
        <v>311</v>
      </c>
      <c r="G493" s="2" t="s">
        <v>3095</v>
      </c>
      <c r="H493" s="2" t="s">
        <v>3092</v>
      </c>
      <c r="I493" s="1" t="s">
        <v>14</v>
      </c>
      <c r="J493" s="1" t="s">
        <v>4870</v>
      </c>
      <c r="K493" s="17"/>
      <c r="L493" s="54" t="s">
        <v>1670</v>
      </c>
      <c r="M493" s="39"/>
      <c r="N493" s="39"/>
      <c r="O493" s="39"/>
      <c r="P493" s="39"/>
      <c r="Q493" s="39"/>
      <c r="R493" s="39"/>
      <c r="S493" s="39"/>
      <c r="T493" s="39">
        <f>2764*100/20</f>
        <v>13820</v>
      </c>
      <c r="U493" s="39"/>
      <c r="V493" s="39"/>
      <c r="W493" s="92" t="s">
        <v>1770</v>
      </c>
    </row>
    <row r="494" spans="1:23" s="79" customFormat="1" ht="25.5" x14ac:dyDescent="0.2">
      <c r="A494" s="1" t="s">
        <v>25</v>
      </c>
      <c r="B494" s="2" t="s">
        <v>16</v>
      </c>
      <c r="C494" s="2" t="s">
        <v>26</v>
      </c>
      <c r="D494" s="2" t="s">
        <v>27</v>
      </c>
      <c r="E494" s="2">
        <v>2023</v>
      </c>
      <c r="F494" s="2" t="s">
        <v>337</v>
      </c>
      <c r="G494" s="2" t="s">
        <v>3095</v>
      </c>
      <c r="H494" s="2" t="s">
        <v>3092</v>
      </c>
      <c r="I494" s="1" t="s">
        <v>14</v>
      </c>
      <c r="J494" s="1" t="s">
        <v>4871</v>
      </c>
      <c r="K494" s="17"/>
      <c r="L494" s="54" t="s">
        <v>1670</v>
      </c>
      <c r="M494" s="39"/>
      <c r="N494" s="39"/>
      <c r="O494" s="39"/>
      <c r="P494" s="39"/>
      <c r="Q494" s="39"/>
      <c r="R494" s="39"/>
      <c r="S494" s="39"/>
      <c r="T494" s="39">
        <f>2718*100/20</f>
        <v>13590</v>
      </c>
      <c r="U494" s="39"/>
      <c r="V494" s="39"/>
      <c r="W494" s="92" t="s">
        <v>1770</v>
      </c>
    </row>
    <row r="495" spans="1:23" s="79" customFormat="1" ht="25.5" x14ac:dyDescent="0.2">
      <c r="A495" s="1" t="s">
        <v>25</v>
      </c>
      <c r="B495" s="2" t="s">
        <v>16</v>
      </c>
      <c r="C495" s="2" t="s">
        <v>26</v>
      </c>
      <c r="D495" s="2" t="s">
        <v>27</v>
      </c>
      <c r="E495" s="2">
        <v>2023</v>
      </c>
      <c r="F495" s="2" t="s">
        <v>364</v>
      </c>
      <c r="G495" s="2" t="s">
        <v>3095</v>
      </c>
      <c r="H495" s="2" t="s">
        <v>3092</v>
      </c>
      <c r="I495" s="1" t="s">
        <v>14</v>
      </c>
      <c r="J495" s="1" t="s">
        <v>4872</v>
      </c>
      <c r="K495" s="17"/>
      <c r="L495" s="54" t="s">
        <v>1670</v>
      </c>
      <c r="M495" s="39"/>
      <c r="N495" s="39"/>
      <c r="O495" s="39"/>
      <c r="P495" s="39"/>
      <c r="Q495" s="39"/>
      <c r="R495" s="39"/>
      <c r="S495" s="39"/>
      <c r="T495" s="39">
        <f>2600*100/20</f>
        <v>13000</v>
      </c>
      <c r="U495" s="39"/>
      <c r="V495" s="39"/>
      <c r="W495" s="92" t="s">
        <v>1770</v>
      </c>
    </row>
    <row r="496" spans="1:23" s="79" customFormat="1" ht="25.5" x14ac:dyDescent="0.2">
      <c r="A496" s="1" t="s">
        <v>25</v>
      </c>
      <c r="B496" s="2" t="s">
        <v>16</v>
      </c>
      <c r="C496" s="2" t="s">
        <v>26</v>
      </c>
      <c r="D496" s="2" t="s">
        <v>27</v>
      </c>
      <c r="E496" s="2">
        <v>2023</v>
      </c>
      <c r="F496" s="2" t="s">
        <v>388</v>
      </c>
      <c r="G496" s="2" t="s">
        <v>3095</v>
      </c>
      <c r="H496" s="2" t="s">
        <v>3092</v>
      </c>
      <c r="I496" s="1" t="s">
        <v>14</v>
      </c>
      <c r="J496" s="1" t="s">
        <v>4873</v>
      </c>
      <c r="K496" s="17"/>
      <c r="L496" s="54" t="s">
        <v>1670</v>
      </c>
      <c r="M496" s="39"/>
      <c r="N496" s="39"/>
      <c r="O496" s="39"/>
      <c r="P496" s="39"/>
      <c r="Q496" s="39"/>
      <c r="R496" s="39"/>
      <c r="S496" s="39"/>
      <c r="T496" s="39">
        <f>3127*100/20</f>
        <v>15635</v>
      </c>
      <c r="U496" s="39"/>
      <c r="V496" s="39"/>
      <c r="W496" s="92" t="s">
        <v>1770</v>
      </c>
    </row>
    <row r="497" spans="1:23" s="79" customFormat="1" ht="25.5" x14ac:dyDescent="0.2">
      <c r="A497" s="1" t="s">
        <v>339</v>
      </c>
      <c r="B497" s="2" t="s">
        <v>340</v>
      </c>
      <c r="C497" s="2" t="s">
        <v>341</v>
      </c>
      <c r="D497" s="2" t="s">
        <v>77</v>
      </c>
      <c r="E497" s="2">
        <v>2023</v>
      </c>
      <c r="F497" s="2" t="s">
        <v>203</v>
      </c>
      <c r="G497" s="2" t="s">
        <v>3095</v>
      </c>
      <c r="H497" s="2" t="s">
        <v>3092</v>
      </c>
      <c r="I497" s="1" t="s">
        <v>14</v>
      </c>
      <c r="J497" s="1" t="s">
        <v>4874</v>
      </c>
      <c r="K497" s="17"/>
      <c r="L497" s="54" t="s">
        <v>1670</v>
      </c>
      <c r="M497" s="39"/>
      <c r="N497" s="39"/>
      <c r="O497" s="39">
        <v>369</v>
      </c>
      <c r="P497" s="39"/>
      <c r="Q497" s="39"/>
      <c r="R497" s="39"/>
      <c r="S497" s="39"/>
      <c r="T497" s="39"/>
      <c r="U497" s="39"/>
      <c r="V497" s="39"/>
      <c r="W497" s="92" t="s">
        <v>1699</v>
      </c>
    </row>
    <row r="498" spans="1:23" s="79" customFormat="1" ht="38.25" x14ac:dyDescent="0.2">
      <c r="A498" s="1" t="s">
        <v>339</v>
      </c>
      <c r="B498" s="2" t="s">
        <v>340</v>
      </c>
      <c r="C498" s="2" t="s">
        <v>341</v>
      </c>
      <c r="D498" s="2" t="s">
        <v>77</v>
      </c>
      <c r="E498" s="2">
        <v>2023</v>
      </c>
      <c r="F498" s="2" t="s">
        <v>256</v>
      </c>
      <c r="G498" s="2" t="s">
        <v>3095</v>
      </c>
      <c r="H498" s="2" t="s">
        <v>3092</v>
      </c>
      <c r="I498" s="1" t="s">
        <v>14</v>
      </c>
      <c r="J498" s="1" t="s">
        <v>4875</v>
      </c>
      <c r="K498" s="17"/>
      <c r="L498" s="54" t="s">
        <v>1670</v>
      </c>
      <c r="M498" s="39"/>
      <c r="N498" s="39"/>
      <c r="O498" s="39">
        <v>370</v>
      </c>
      <c r="P498" s="39"/>
      <c r="Q498" s="39"/>
      <c r="R498" s="39"/>
      <c r="S498" s="39"/>
      <c r="T498" s="39"/>
      <c r="U498" s="39"/>
      <c r="V498" s="39"/>
      <c r="W498" s="92" t="s">
        <v>1699</v>
      </c>
    </row>
    <row r="499" spans="1:23" s="79" customFormat="1" ht="25.5" x14ac:dyDescent="0.2">
      <c r="A499" s="1" t="s">
        <v>339</v>
      </c>
      <c r="B499" s="2" t="s">
        <v>340</v>
      </c>
      <c r="C499" s="2" t="s">
        <v>341</v>
      </c>
      <c r="D499" s="2" t="s">
        <v>77</v>
      </c>
      <c r="E499" s="2">
        <v>2023</v>
      </c>
      <c r="F499" s="2" t="s">
        <v>311</v>
      </c>
      <c r="G499" s="2" t="s">
        <v>3095</v>
      </c>
      <c r="H499" s="2" t="s">
        <v>3092</v>
      </c>
      <c r="I499" s="1" t="s">
        <v>14</v>
      </c>
      <c r="J499" s="1" t="s">
        <v>4876</v>
      </c>
      <c r="K499" s="17"/>
      <c r="L499" s="54" t="s">
        <v>1670</v>
      </c>
      <c r="M499" s="39"/>
      <c r="N499" s="39"/>
      <c r="O499" s="39">
        <v>360</v>
      </c>
      <c r="P499" s="39"/>
      <c r="Q499" s="39"/>
      <c r="R499" s="39"/>
      <c r="S499" s="39"/>
      <c r="T499" s="39"/>
      <c r="U499" s="39"/>
      <c r="V499" s="39"/>
      <c r="W499" s="92" t="s">
        <v>1699</v>
      </c>
    </row>
    <row r="500" spans="1:23" s="79" customFormat="1" ht="25.5" x14ac:dyDescent="0.2">
      <c r="A500" s="1" t="s">
        <v>339</v>
      </c>
      <c r="B500" s="2" t="s">
        <v>340</v>
      </c>
      <c r="C500" s="2" t="s">
        <v>341</v>
      </c>
      <c r="D500" s="2" t="s">
        <v>77</v>
      </c>
      <c r="E500" s="2">
        <v>2023</v>
      </c>
      <c r="F500" s="2" t="s">
        <v>388</v>
      </c>
      <c r="G500" s="2" t="s">
        <v>3095</v>
      </c>
      <c r="H500" s="2" t="s">
        <v>3092</v>
      </c>
      <c r="I500" s="1" t="s">
        <v>14</v>
      </c>
      <c r="J500" s="1" t="s">
        <v>4877</v>
      </c>
      <c r="K500" s="17"/>
      <c r="L500" s="54" t="s">
        <v>1670</v>
      </c>
      <c r="M500" s="39"/>
      <c r="N500" s="39"/>
      <c r="O500" s="39">
        <v>430.56</v>
      </c>
      <c r="P500" s="39"/>
      <c r="Q500" s="39"/>
      <c r="R500" s="39"/>
      <c r="S500" s="39"/>
      <c r="T500" s="39"/>
      <c r="U500" s="39"/>
      <c r="V500" s="39"/>
      <c r="W500" s="92"/>
    </row>
    <row r="501" spans="1:23" s="79" customFormat="1" ht="25.5" x14ac:dyDescent="0.2">
      <c r="A501" s="1" t="s">
        <v>147</v>
      </c>
      <c r="B501" s="2" t="s">
        <v>38</v>
      </c>
      <c r="C501" s="2" t="s">
        <v>148</v>
      </c>
      <c r="D501" s="2" t="s">
        <v>108</v>
      </c>
      <c r="E501" s="2">
        <v>2023</v>
      </c>
      <c r="F501" s="2" t="s">
        <v>13</v>
      </c>
      <c r="G501" s="2" t="s">
        <v>3095</v>
      </c>
      <c r="H501" s="2" t="s">
        <v>3092</v>
      </c>
      <c r="I501" s="1" t="s">
        <v>14</v>
      </c>
      <c r="J501" s="1" t="s">
        <v>4878</v>
      </c>
      <c r="K501" s="17"/>
      <c r="L501" s="54">
        <v>0.17899999999999999</v>
      </c>
      <c r="M501" s="39"/>
      <c r="N501" s="39"/>
      <c r="O501" s="39">
        <v>98.43</v>
      </c>
      <c r="P501" s="39"/>
      <c r="Q501" s="39"/>
      <c r="R501" s="39"/>
      <c r="S501" s="39"/>
      <c r="T501" s="39"/>
      <c r="U501" s="39"/>
      <c r="V501" s="39"/>
      <c r="W501" s="92" t="s">
        <v>1681</v>
      </c>
    </row>
    <row r="502" spans="1:23" s="79" customFormat="1" ht="25.5" x14ac:dyDescent="0.2">
      <c r="A502" s="1" t="s">
        <v>147</v>
      </c>
      <c r="B502" s="2" t="s">
        <v>38</v>
      </c>
      <c r="C502" s="2" t="s">
        <v>148</v>
      </c>
      <c r="D502" s="2" t="s">
        <v>108</v>
      </c>
      <c r="E502" s="2">
        <v>2023</v>
      </c>
      <c r="F502" s="2" t="s">
        <v>188</v>
      </c>
      <c r="G502" s="2" t="s">
        <v>3095</v>
      </c>
      <c r="H502" s="2" t="s">
        <v>3092</v>
      </c>
      <c r="I502" s="1" t="s">
        <v>14</v>
      </c>
      <c r="J502" s="1" t="s">
        <v>4879</v>
      </c>
      <c r="K502" s="17"/>
      <c r="L502" s="54">
        <v>0.1825</v>
      </c>
      <c r="M502" s="39"/>
      <c r="N502" s="39"/>
      <c r="O502" s="39">
        <v>91.35</v>
      </c>
      <c r="P502" s="39"/>
      <c r="Q502" s="39"/>
      <c r="R502" s="39"/>
      <c r="S502" s="39"/>
      <c r="T502" s="39"/>
      <c r="U502" s="39"/>
      <c r="V502" s="39"/>
      <c r="W502" s="92" t="s">
        <v>1681</v>
      </c>
    </row>
    <row r="503" spans="1:23" s="79" customFormat="1" ht="25.5" x14ac:dyDescent="0.2">
      <c r="A503" s="1" t="s">
        <v>147</v>
      </c>
      <c r="B503" s="2" t="s">
        <v>38</v>
      </c>
      <c r="C503" s="2" t="s">
        <v>148</v>
      </c>
      <c r="D503" s="2" t="s">
        <v>108</v>
      </c>
      <c r="E503" s="2">
        <v>2023</v>
      </c>
      <c r="F503" s="2" t="s">
        <v>203</v>
      </c>
      <c r="G503" s="2" t="s">
        <v>3095</v>
      </c>
      <c r="H503" s="2" t="s">
        <v>3092</v>
      </c>
      <c r="I503" s="1" t="s">
        <v>14</v>
      </c>
      <c r="J503" s="1" t="s">
        <v>4880</v>
      </c>
      <c r="K503" s="17"/>
      <c r="L503" s="54">
        <v>0.17449999999999999</v>
      </c>
      <c r="M503" s="39"/>
      <c r="N503" s="39"/>
      <c r="O503" s="39">
        <v>110.55</v>
      </c>
      <c r="P503" s="39"/>
      <c r="Q503" s="39"/>
      <c r="R503" s="39"/>
      <c r="S503" s="39"/>
      <c r="T503" s="39"/>
      <c r="U503" s="39"/>
      <c r="V503" s="39"/>
      <c r="W503" s="92" t="s">
        <v>1681</v>
      </c>
    </row>
    <row r="504" spans="1:23" s="79" customFormat="1" ht="25.5" x14ac:dyDescent="0.2">
      <c r="A504" s="1" t="s">
        <v>147</v>
      </c>
      <c r="B504" s="2" t="s">
        <v>38</v>
      </c>
      <c r="C504" s="2" t="s">
        <v>148</v>
      </c>
      <c r="D504" s="2" t="s">
        <v>108</v>
      </c>
      <c r="E504" s="2">
        <v>2023</v>
      </c>
      <c r="F504" s="2" t="s">
        <v>211</v>
      </c>
      <c r="G504" s="2" t="s">
        <v>3095</v>
      </c>
      <c r="H504" s="2" t="s">
        <v>3092</v>
      </c>
      <c r="I504" s="1" t="s">
        <v>14</v>
      </c>
      <c r="J504" s="1" t="s">
        <v>4881</v>
      </c>
      <c r="K504" s="17"/>
      <c r="L504" s="54">
        <v>0.1739</v>
      </c>
      <c r="M504" s="39"/>
      <c r="N504" s="39"/>
      <c r="O504" s="39">
        <v>75.08</v>
      </c>
      <c r="P504" s="39"/>
      <c r="Q504" s="39"/>
      <c r="R504" s="39"/>
      <c r="S504" s="39"/>
      <c r="T504" s="39"/>
      <c r="U504" s="39"/>
      <c r="V504" s="39"/>
      <c r="W504" s="92" t="s">
        <v>1681</v>
      </c>
    </row>
    <row r="505" spans="1:23" s="79" customFormat="1" ht="25.5" x14ac:dyDescent="0.2">
      <c r="A505" s="1" t="s">
        <v>147</v>
      </c>
      <c r="B505" s="2" t="s">
        <v>38</v>
      </c>
      <c r="C505" s="2" t="s">
        <v>148</v>
      </c>
      <c r="D505" s="2" t="s">
        <v>108</v>
      </c>
      <c r="E505" s="2">
        <v>2023</v>
      </c>
      <c r="F505" s="2" t="s">
        <v>256</v>
      </c>
      <c r="G505" s="2" t="s">
        <v>3095</v>
      </c>
      <c r="H505" s="2" t="s">
        <v>3092</v>
      </c>
      <c r="I505" s="1" t="s">
        <v>14</v>
      </c>
      <c r="J505" s="1" t="s">
        <v>4882</v>
      </c>
      <c r="K505" s="17"/>
      <c r="L505" s="54">
        <v>0.15939999999999999</v>
      </c>
      <c r="M505" s="39"/>
      <c r="N505" s="39"/>
      <c r="O505" s="39">
        <v>109.01</v>
      </c>
      <c r="P505" s="39"/>
      <c r="Q505" s="39"/>
      <c r="R505" s="39"/>
      <c r="S505" s="39"/>
      <c r="T505" s="39"/>
      <c r="U505" s="39"/>
      <c r="V505" s="39"/>
      <c r="W505" s="92" t="s">
        <v>1681</v>
      </c>
    </row>
    <row r="506" spans="1:23" s="79" customFormat="1" ht="25.5" x14ac:dyDescent="0.2">
      <c r="A506" s="1" t="s">
        <v>147</v>
      </c>
      <c r="B506" s="2" t="s">
        <v>38</v>
      </c>
      <c r="C506" s="2" t="s">
        <v>148</v>
      </c>
      <c r="D506" s="2" t="s">
        <v>108</v>
      </c>
      <c r="E506" s="2">
        <v>2023</v>
      </c>
      <c r="F506" s="2" t="s">
        <v>276</v>
      </c>
      <c r="G506" s="2" t="s">
        <v>3095</v>
      </c>
      <c r="H506" s="2" t="s">
        <v>3092</v>
      </c>
      <c r="I506" s="1" t="s">
        <v>14</v>
      </c>
      <c r="J506" s="1" t="s">
        <v>4883</v>
      </c>
      <c r="K506" s="17"/>
      <c r="L506" s="54">
        <v>0.17349999999999999</v>
      </c>
      <c r="M506" s="39"/>
      <c r="N506" s="39"/>
      <c r="O506" s="39">
        <v>114.3</v>
      </c>
      <c r="P506" s="39"/>
      <c r="Q506" s="39"/>
      <c r="R506" s="39"/>
      <c r="S506" s="39"/>
      <c r="T506" s="39"/>
      <c r="U506" s="39"/>
      <c r="V506" s="39"/>
      <c r="W506" s="92" t="s">
        <v>1681</v>
      </c>
    </row>
    <row r="507" spans="1:23" s="79" customFormat="1" ht="25.5" x14ac:dyDescent="0.2">
      <c r="A507" s="1" t="s">
        <v>147</v>
      </c>
      <c r="B507" s="2" t="s">
        <v>38</v>
      </c>
      <c r="C507" s="2" t="s">
        <v>148</v>
      </c>
      <c r="D507" s="2" t="s">
        <v>108</v>
      </c>
      <c r="E507" s="2">
        <v>2023</v>
      </c>
      <c r="F507" s="2" t="s">
        <v>291</v>
      </c>
      <c r="G507" s="2" t="s">
        <v>3095</v>
      </c>
      <c r="H507" s="2" t="s">
        <v>3092</v>
      </c>
      <c r="I507" s="1" t="s">
        <v>14</v>
      </c>
      <c r="J507" s="1" t="s">
        <v>4884</v>
      </c>
      <c r="K507" s="17"/>
      <c r="L507" s="54">
        <v>0.16320000000000001</v>
      </c>
      <c r="M507" s="39"/>
      <c r="N507" s="39"/>
      <c r="O507" s="39">
        <v>146.43</v>
      </c>
      <c r="P507" s="39"/>
      <c r="Q507" s="39"/>
      <c r="R507" s="39"/>
      <c r="S507" s="39"/>
      <c r="T507" s="39"/>
      <c r="U507" s="39"/>
      <c r="V507" s="39"/>
      <c r="W507" s="92" t="s">
        <v>1681</v>
      </c>
    </row>
    <row r="508" spans="1:23" s="79" customFormat="1" ht="25.5" x14ac:dyDescent="0.2">
      <c r="A508" s="1" t="s">
        <v>147</v>
      </c>
      <c r="B508" s="2" t="s">
        <v>38</v>
      </c>
      <c r="C508" s="2" t="s">
        <v>148</v>
      </c>
      <c r="D508" s="2" t="s">
        <v>108</v>
      </c>
      <c r="E508" s="2">
        <v>2023</v>
      </c>
      <c r="F508" s="2" t="s">
        <v>311</v>
      </c>
      <c r="G508" s="2" t="s">
        <v>3095</v>
      </c>
      <c r="H508" s="2" t="s">
        <v>3092</v>
      </c>
      <c r="I508" s="1" t="s">
        <v>14</v>
      </c>
      <c r="J508" s="1" t="s">
        <v>4885</v>
      </c>
      <c r="K508" s="17"/>
      <c r="L508" s="54">
        <v>0.16109999999999999</v>
      </c>
      <c r="M508" s="39"/>
      <c r="N508" s="39"/>
      <c r="O508" s="39">
        <v>81.709999999999994</v>
      </c>
      <c r="P508" s="39"/>
      <c r="Q508" s="39"/>
      <c r="R508" s="39"/>
      <c r="S508" s="39"/>
      <c r="T508" s="39"/>
      <c r="U508" s="39"/>
      <c r="V508" s="39"/>
      <c r="W508" s="92" t="s">
        <v>1681</v>
      </c>
    </row>
    <row r="509" spans="1:23" s="79" customFormat="1" ht="25.5" x14ac:dyDescent="0.2">
      <c r="A509" s="1" t="s">
        <v>147</v>
      </c>
      <c r="B509" s="2" t="s">
        <v>38</v>
      </c>
      <c r="C509" s="2" t="s">
        <v>148</v>
      </c>
      <c r="D509" s="2" t="s">
        <v>108</v>
      </c>
      <c r="E509" s="2">
        <v>2023</v>
      </c>
      <c r="F509" s="2" t="s">
        <v>337</v>
      </c>
      <c r="G509" s="2" t="s">
        <v>3095</v>
      </c>
      <c r="H509" s="2" t="s">
        <v>3092</v>
      </c>
      <c r="I509" s="1" t="s">
        <v>14</v>
      </c>
      <c r="J509" s="1" t="s">
        <v>4886</v>
      </c>
      <c r="K509" s="17"/>
      <c r="L509" s="54">
        <v>0.16350000000000001</v>
      </c>
      <c r="M509" s="39"/>
      <c r="N509" s="39"/>
      <c r="O509" s="39">
        <v>81.709999999999994</v>
      </c>
      <c r="P509" s="39"/>
      <c r="Q509" s="39"/>
      <c r="R509" s="39"/>
      <c r="S509" s="39"/>
      <c r="T509" s="39"/>
      <c r="U509" s="39"/>
      <c r="V509" s="39"/>
      <c r="W509" s="92" t="s">
        <v>1681</v>
      </c>
    </row>
    <row r="510" spans="1:23" s="79" customFormat="1" ht="25.5" x14ac:dyDescent="0.2">
      <c r="A510" s="1" t="s">
        <v>147</v>
      </c>
      <c r="B510" s="2" t="s">
        <v>38</v>
      </c>
      <c r="C510" s="2" t="s">
        <v>148</v>
      </c>
      <c r="D510" s="2" t="s">
        <v>108</v>
      </c>
      <c r="E510" s="2">
        <v>2023</v>
      </c>
      <c r="F510" s="2" t="s">
        <v>364</v>
      </c>
      <c r="G510" s="2" t="s">
        <v>3095</v>
      </c>
      <c r="H510" s="2" t="s">
        <v>3092</v>
      </c>
      <c r="I510" s="1" t="s">
        <v>14</v>
      </c>
      <c r="J510" s="1" t="s">
        <v>4887</v>
      </c>
      <c r="K510" s="17"/>
      <c r="L510" s="54">
        <v>0.16439999999999999</v>
      </c>
      <c r="M510" s="39"/>
      <c r="N510" s="39"/>
      <c r="O510" s="39">
        <v>75.069999999999993</v>
      </c>
      <c r="P510" s="39"/>
      <c r="Q510" s="39"/>
      <c r="R510" s="39"/>
      <c r="S510" s="39"/>
      <c r="T510" s="39"/>
      <c r="U510" s="39"/>
      <c r="V510" s="39"/>
      <c r="W510" s="92" t="s">
        <v>1681</v>
      </c>
    </row>
    <row r="511" spans="1:23" s="79" customFormat="1" ht="25.5" x14ac:dyDescent="0.2">
      <c r="A511" s="1" t="s">
        <v>147</v>
      </c>
      <c r="B511" s="2" t="s">
        <v>38</v>
      </c>
      <c r="C511" s="2" t="s">
        <v>148</v>
      </c>
      <c r="D511" s="2" t="s">
        <v>108</v>
      </c>
      <c r="E511" s="2">
        <v>2023</v>
      </c>
      <c r="F511" s="2" t="s">
        <v>388</v>
      </c>
      <c r="G511" s="2" t="s">
        <v>3095</v>
      </c>
      <c r="H511" s="2" t="s">
        <v>3092</v>
      </c>
      <c r="I511" s="1" t="s">
        <v>14</v>
      </c>
      <c r="J511" s="1" t="s">
        <v>4888</v>
      </c>
      <c r="K511" s="17"/>
      <c r="L511" s="54">
        <v>0.1648</v>
      </c>
      <c r="M511" s="39"/>
      <c r="N511" s="39"/>
      <c r="O511" s="39">
        <v>88.21</v>
      </c>
      <c r="P511" s="39"/>
      <c r="Q511" s="39"/>
      <c r="R511" s="39"/>
      <c r="S511" s="39"/>
      <c r="T511" s="39"/>
      <c r="U511" s="39"/>
      <c r="V511" s="39"/>
      <c r="W511" s="92" t="s">
        <v>1681</v>
      </c>
    </row>
    <row r="512" spans="1:23" s="79" customFormat="1" ht="25.5" x14ac:dyDescent="0.2">
      <c r="A512" s="1" t="s">
        <v>2418</v>
      </c>
      <c r="B512" s="2" t="s">
        <v>196</v>
      </c>
      <c r="C512" s="2" t="s">
        <v>148</v>
      </c>
      <c r="D512" s="2" t="s">
        <v>108</v>
      </c>
      <c r="E512" s="2">
        <v>2023</v>
      </c>
      <c r="F512" s="2" t="s">
        <v>221</v>
      </c>
      <c r="G512" s="2" t="s">
        <v>3093</v>
      </c>
      <c r="H512" s="2" t="s">
        <v>3092</v>
      </c>
      <c r="I512" s="1" t="s">
        <v>14</v>
      </c>
      <c r="J512" s="1" t="s">
        <v>4889</v>
      </c>
      <c r="K512" s="17"/>
      <c r="L512" s="54">
        <v>0.16389999999999999</v>
      </c>
      <c r="M512" s="39"/>
      <c r="N512" s="39"/>
      <c r="O512" s="39">
        <v>130.44999999999999</v>
      </c>
      <c r="P512" s="39"/>
      <c r="Q512" s="39"/>
      <c r="R512" s="39"/>
      <c r="S512" s="39"/>
      <c r="T512" s="39"/>
      <c r="U512" s="39"/>
      <c r="V512" s="39"/>
      <c r="W512" s="92" t="s">
        <v>1681</v>
      </c>
    </row>
    <row r="513" spans="1:23" s="79" customFormat="1" ht="38.25" x14ac:dyDescent="0.2">
      <c r="A513" s="1" t="s">
        <v>254</v>
      </c>
      <c r="B513" s="2" t="s">
        <v>32</v>
      </c>
      <c r="C513" s="2" t="s">
        <v>255</v>
      </c>
      <c r="D513" s="2" t="s">
        <v>88</v>
      </c>
      <c r="E513" s="2">
        <v>2023</v>
      </c>
      <c r="F513" s="2" t="s">
        <v>203</v>
      </c>
      <c r="G513" s="2" t="s">
        <v>3095</v>
      </c>
      <c r="H513" s="2" t="s">
        <v>3092</v>
      </c>
      <c r="I513" s="1" t="s">
        <v>14</v>
      </c>
      <c r="J513" s="1" t="s">
        <v>4890</v>
      </c>
      <c r="K513" s="17"/>
      <c r="L513" s="80">
        <v>0.06</v>
      </c>
      <c r="M513" s="15"/>
      <c r="N513" s="15"/>
      <c r="O513" s="15"/>
      <c r="P513" s="15"/>
      <c r="Q513" s="15"/>
      <c r="R513" s="15"/>
      <c r="S513" s="15"/>
      <c r="T513" s="15"/>
      <c r="U513" s="15"/>
      <c r="V513" s="15">
        <v>146.25</v>
      </c>
      <c r="W513" s="92" t="s">
        <v>4891</v>
      </c>
    </row>
    <row r="514" spans="1:23" s="79" customFormat="1" ht="51" x14ac:dyDescent="0.2">
      <c r="A514" s="1" t="s">
        <v>254</v>
      </c>
      <c r="B514" s="2" t="s">
        <v>32</v>
      </c>
      <c r="C514" s="2" t="s">
        <v>255</v>
      </c>
      <c r="D514" s="2" t="s">
        <v>88</v>
      </c>
      <c r="E514" s="2">
        <v>2023</v>
      </c>
      <c r="F514" s="2" t="s">
        <v>276</v>
      </c>
      <c r="G514" s="2" t="s">
        <v>3095</v>
      </c>
      <c r="H514" s="2" t="s">
        <v>3092</v>
      </c>
      <c r="I514" s="1" t="s">
        <v>14</v>
      </c>
      <c r="J514" s="1" t="s">
        <v>4892</v>
      </c>
      <c r="K514" s="17"/>
      <c r="L514" s="54">
        <v>0.06</v>
      </c>
      <c r="M514" s="15"/>
      <c r="N514" s="15"/>
      <c r="O514" s="15"/>
      <c r="P514" s="15"/>
      <c r="Q514" s="15"/>
      <c r="R514" s="15"/>
      <c r="S514" s="15"/>
      <c r="T514" s="15"/>
      <c r="U514" s="15"/>
      <c r="V514" s="15">
        <v>272.54000000000002</v>
      </c>
      <c r="W514" s="92" t="s">
        <v>4891</v>
      </c>
    </row>
    <row r="515" spans="1:23" s="79" customFormat="1" ht="38.25" x14ac:dyDescent="0.2">
      <c r="A515" s="1" t="s">
        <v>254</v>
      </c>
      <c r="B515" s="2" t="s">
        <v>32</v>
      </c>
      <c r="C515" s="2" t="s">
        <v>255</v>
      </c>
      <c r="D515" s="2" t="s">
        <v>88</v>
      </c>
      <c r="E515" s="2">
        <v>2023</v>
      </c>
      <c r="F515" s="2" t="s">
        <v>364</v>
      </c>
      <c r="G515" s="2" t="s">
        <v>3095</v>
      </c>
      <c r="H515" s="2" t="s">
        <v>3092</v>
      </c>
      <c r="I515" s="1" t="s">
        <v>14</v>
      </c>
      <c r="J515" s="1" t="s">
        <v>4893</v>
      </c>
      <c r="K515" s="17"/>
      <c r="L515" s="54">
        <v>0.06</v>
      </c>
      <c r="M515" s="39"/>
      <c r="N515" s="39"/>
      <c r="O515" s="39"/>
      <c r="P515" s="39"/>
      <c r="Q515" s="39"/>
      <c r="R515" s="39"/>
      <c r="S515" s="39"/>
      <c r="T515" s="39"/>
      <c r="U515" s="39"/>
      <c r="V515" s="39">
        <v>211</v>
      </c>
      <c r="W515" s="92" t="s">
        <v>4891</v>
      </c>
    </row>
    <row r="516" spans="1:23" s="79" customFormat="1" ht="51" x14ac:dyDescent="0.2">
      <c r="A516" s="1" t="s">
        <v>2440</v>
      </c>
      <c r="B516" s="2" t="s">
        <v>32</v>
      </c>
      <c r="C516" s="2" t="s">
        <v>2441</v>
      </c>
      <c r="D516" s="2" t="s">
        <v>338</v>
      </c>
      <c r="E516" s="2">
        <v>2023</v>
      </c>
      <c r="F516" s="2" t="s">
        <v>256</v>
      </c>
      <c r="G516" s="2" t="s">
        <v>3095</v>
      </c>
      <c r="H516" s="2" t="s">
        <v>3092</v>
      </c>
      <c r="I516" s="1" t="s">
        <v>14</v>
      </c>
      <c r="J516" s="1" t="s">
        <v>4894</v>
      </c>
      <c r="K516" s="17"/>
      <c r="L516" s="54">
        <v>0.15</v>
      </c>
      <c r="M516" s="39"/>
      <c r="N516" s="39"/>
      <c r="O516" s="39"/>
      <c r="P516" s="39"/>
      <c r="Q516" s="39"/>
      <c r="R516" s="39"/>
      <c r="S516" s="39">
        <f>4*0.8</f>
        <v>3.2</v>
      </c>
      <c r="T516" s="39"/>
      <c r="U516" s="39"/>
      <c r="V516" s="39"/>
      <c r="W516" s="92" t="s">
        <v>1680</v>
      </c>
    </row>
    <row r="517" spans="1:23" s="79" customFormat="1" ht="51" x14ac:dyDescent="0.2">
      <c r="A517" s="1" t="s">
        <v>2440</v>
      </c>
      <c r="B517" s="2" t="s">
        <v>32</v>
      </c>
      <c r="C517" s="2" t="s">
        <v>2441</v>
      </c>
      <c r="D517" s="2" t="s">
        <v>338</v>
      </c>
      <c r="E517" s="2">
        <v>2023</v>
      </c>
      <c r="F517" s="2" t="s">
        <v>276</v>
      </c>
      <c r="G517" s="2" t="s">
        <v>3095</v>
      </c>
      <c r="H517" s="2" t="s">
        <v>3092</v>
      </c>
      <c r="I517" s="1" t="s">
        <v>14</v>
      </c>
      <c r="J517" s="1" t="s">
        <v>4895</v>
      </c>
      <c r="K517" s="17"/>
      <c r="L517" s="54">
        <v>0.152</v>
      </c>
      <c r="M517" s="39"/>
      <c r="N517" s="39"/>
      <c r="O517" s="39"/>
      <c r="P517" s="39"/>
      <c r="Q517" s="39"/>
      <c r="R517" s="39"/>
      <c r="S517" s="39">
        <f>32*0.8</f>
        <v>25.6</v>
      </c>
      <c r="T517" s="39"/>
      <c r="U517" s="39"/>
      <c r="V517" s="39"/>
      <c r="W517" s="92" t="s">
        <v>1680</v>
      </c>
    </row>
    <row r="518" spans="1:23" s="79" customFormat="1" ht="63.75" x14ac:dyDescent="0.2">
      <c r="A518" s="1" t="s">
        <v>2440</v>
      </c>
      <c r="B518" s="2" t="s">
        <v>32</v>
      </c>
      <c r="C518" s="2" t="s">
        <v>2441</v>
      </c>
      <c r="D518" s="2" t="s">
        <v>338</v>
      </c>
      <c r="E518" s="2">
        <v>2023</v>
      </c>
      <c r="F518" s="2" t="s">
        <v>291</v>
      </c>
      <c r="G518" s="2" t="s">
        <v>3095</v>
      </c>
      <c r="H518" s="2" t="s">
        <v>3092</v>
      </c>
      <c r="I518" s="1" t="s">
        <v>14</v>
      </c>
      <c r="J518" s="1" t="s">
        <v>4896</v>
      </c>
      <c r="K518" s="17"/>
      <c r="L518" s="54">
        <v>0.15</v>
      </c>
      <c r="M518" s="39"/>
      <c r="N518" s="39"/>
      <c r="O518" s="39"/>
      <c r="P518" s="39"/>
      <c r="Q518" s="39"/>
      <c r="R518" s="39"/>
      <c r="S518" s="39">
        <f>31*0.8</f>
        <v>24.8</v>
      </c>
      <c r="T518" s="39"/>
      <c r="U518" s="39"/>
      <c r="V518" s="39"/>
      <c r="W518" s="92" t="s">
        <v>1680</v>
      </c>
    </row>
    <row r="519" spans="1:23" s="79" customFormat="1" ht="63.75" x14ac:dyDescent="0.2">
      <c r="A519" s="1" t="s">
        <v>2440</v>
      </c>
      <c r="B519" s="2" t="s">
        <v>32</v>
      </c>
      <c r="C519" s="2" t="s">
        <v>2441</v>
      </c>
      <c r="D519" s="2" t="s">
        <v>338</v>
      </c>
      <c r="E519" s="2">
        <v>2023</v>
      </c>
      <c r="F519" s="2" t="s">
        <v>311</v>
      </c>
      <c r="G519" s="2" t="s">
        <v>3095</v>
      </c>
      <c r="H519" s="2" t="s">
        <v>3092</v>
      </c>
      <c r="I519" s="1" t="s">
        <v>14</v>
      </c>
      <c r="J519" s="1" t="s">
        <v>4897</v>
      </c>
      <c r="K519" s="17"/>
      <c r="L519" s="54">
        <v>0.14000000000000001</v>
      </c>
      <c r="M519" s="39"/>
      <c r="N519" s="39"/>
      <c r="O519" s="39"/>
      <c r="P519" s="39"/>
      <c r="Q519" s="39"/>
      <c r="R519" s="39"/>
      <c r="S519" s="39">
        <f>20*0.8</f>
        <v>16</v>
      </c>
      <c r="T519" s="39"/>
      <c r="U519" s="39"/>
      <c r="V519" s="39"/>
      <c r="W519" s="92" t="s">
        <v>1680</v>
      </c>
    </row>
    <row r="520" spans="1:23" s="79" customFormat="1" ht="51" x14ac:dyDescent="0.2">
      <c r="A520" s="1" t="s">
        <v>2440</v>
      </c>
      <c r="B520" s="2" t="s">
        <v>32</v>
      </c>
      <c r="C520" s="2" t="s">
        <v>2441</v>
      </c>
      <c r="D520" s="2" t="s">
        <v>338</v>
      </c>
      <c r="E520" s="2">
        <v>2023</v>
      </c>
      <c r="F520" s="2" t="s">
        <v>337</v>
      </c>
      <c r="G520" s="2" t="s">
        <v>3095</v>
      </c>
      <c r="H520" s="2" t="s">
        <v>3092</v>
      </c>
      <c r="I520" s="1" t="s">
        <v>14</v>
      </c>
      <c r="J520" s="1" t="s">
        <v>4898</v>
      </c>
      <c r="K520" s="17"/>
      <c r="L520" s="54">
        <v>0.14000000000000001</v>
      </c>
      <c r="M520" s="39"/>
      <c r="N520" s="39"/>
      <c r="O520" s="39"/>
      <c r="P520" s="39"/>
      <c r="Q520" s="39"/>
      <c r="R520" s="39"/>
      <c r="S520" s="39">
        <f>9*0.8</f>
        <v>7.2</v>
      </c>
      <c r="T520" s="39"/>
      <c r="U520" s="39"/>
      <c r="V520" s="39"/>
      <c r="W520" s="92" t="s">
        <v>1680</v>
      </c>
    </row>
    <row r="521" spans="1:23" s="79" customFormat="1" ht="25.5" x14ac:dyDescent="0.2">
      <c r="A521" s="1" t="s">
        <v>4899</v>
      </c>
      <c r="B521" s="2" t="s">
        <v>196</v>
      </c>
      <c r="C521" s="2" t="s">
        <v>4900</v>
      </c>
      <c r="D521" s="2" t="s">
        <v>336</v>
      </c>
      <c r="E521" s="2">
        <v>2023</v>
      </c>
      <c r="F521" s="2" t="s">
        <v>291</v>
      </c>
      <c r="G521" s="2" t="s">
        <v>3092</v>
      </c>
      <c r="H521" s="2" t="s">
        <v>3092</v>
      </c>
      <c r="I521" s="1" t="s">
        <v>4901</v>
      </c>
      <c r="J521" s="1" t="s">
        <v>4902</v>
      </c>
      <c r="K521" s="17"/>
      <c r="L521" s="54"/>
      <c r="M521" s="39"/>
      <c r="N521" s="39"/>
      <c r="O521" s="39"/>
      <c r="P521" s="39"/>
      <c r="Q521" s="39"/>
      <c r="R521" s="39"/>
      <c r="S521" s="39"/>
      <c r="T521" s="39"/>
      <c r="U521" s="39"/>
      <c r="V521" s="39"/>
      <c r="W521" s="92"/>
    </row>
    <row r="522" spans="1:23" s="79" customFormat="1" ht="51" x14ac:dyDescent="0.2">
      <c r="A522" s="1" t="s">
        <v>4899</v>
      </c>
      <c r="B522" s="2" t="s">
        <v>196</v>
      </c>
      <c r="C522" s="2" t="s">
        <v>4900</v>
      </c>
      <c r="D522" s="2" t="s">
        <v>336</v>
      </c>
      <c r="E522" s="2">
        <v>2023</v>
      </c>
      <c r="F522" s="2" t="s">
        <v>311</v>
      </c>
      <c r="G522" s="2" t="s">
        <v>3092</v>
      </c>
      <c r="H522" s="2" t="s">
        <v>3092</v>
      </c>
      <c r="I522" s="1" t="s">
        <v>4903</v>
      </c>
      <c r="J522" s="1" t="s">
        <v>4904</v>
      </c>
      <c r="K522" s="17"/>
      <c r="L522" s="54" t="s">
        <v>1670</v>
      </c>
      <c r="M522" s="39"/>
      <c r="N522" s="39"/>
      <c r="O522" s="39">
        <f>211.34+96.65</f>
        <v>307.99</v>
      </c>
      <c r="P522" s="39"/>
      <c r="Q522" s="39"/>
      <c r="R522" s="39"/>
      <c r="S522" s="39"/>
      <c r="T522" s="39"/>
      <c r="U522" s="39"/>
      <c r="V522" s="39"/>
      <c r="W522" s="92" t="s">
        <v>1743</v>
      </c>
    </row>
    <row r="523" spans="1:23" s="79" customFormat="1" ht="25.5" x14ac:dyDescent="0.2">
      <c r="A523" s="1" t="s">
        <v>4899</v>
      </c>
      <c r="B523" s="2" t="s">
        <v>196</v>
      </c>
      <c r="C523" s="2" t="s">
        <v>4900</v>
      </c>
      <c r="D523" s="2" t="s">
        <v>336</v>
      </c>
      <c r="E523" s="2">
        <v>2023</v>
      </c>
      <c r="F523" s="2" t="s">
        <v>337</v>
      </c>
      <c r="G523" s="2" t="s">
        <v>3092</v>
      </c>
      <c r="H523" s="2" t="s">
        <v>3092</v>
      </c>
      <c r="I523" s="1" t="s">
        <v>4905</v>
      </c>
      <c r="J523" s="1" t="s">
        <v>4906</v>
      </c>
      <c r="K523" s="17"/>
      <c r="L523" s="54" t="s">
        <v>1670</v>
      </c>
      <c r="M523" s="39"/>
      <c r="N523" s="39"/>
      <c r="O523" s="39">
        <f>68.5+83.84</f>
        <v>152.34</v>
      </c>
      <c r="P523" s="39"/>
      <c r="Q523" s="39"/>
      <c r="R523" s="39"/>
      <c r="S523" s="39"/>
      <c r="T523" s="39"/>
      <c r="U523" s="39"/>
      <c r="V523" s="39"/>
      <c r="W523" s="92" t="s">
        <v>1743</v>
      </c>
    </row>
    <row r="524" spans="1:23" s="79" customFormat="1" ht="25.5" x14ac:dyDescent="0.2">
      <c r="A524" s="1" t="s">
        <v>93</v>
      </c>
      <c r="B524" s="2" t="s">
        <v>38</v>
      </c>
      <c r="C524" s="2" t="s">
        <v>94</v>
      </c>
      <c r="D524" s="2" t="s">
        <v>58</v>
      </c>
      <c r="E524" s="2">
        <v>2023</v>
      </c>
      <c r="F524" s="2" t="s">
        <v>13</v>
      </c>
      <c r="G524" s="2" t="s">
        <v>3095</v>
      </c>
      <c r="H524" s="2" t="s">
        <v>3092</v>
      </c>
      <c r="I524" s="1" t="s">
        <v>14</v>
      </c>
      <c r="J524" s="1" t="s">
        <v>4907</v>
      </c>
      <c r="K524" s="17"/>
      <c r="L524" s="54">
        <v>0.17100000000000001</v>
      </c>
      <c r="M524" s="39"/>
      <c r="N524" s="39"/>
      <c r="O524" s="39">
        <v>185.4</v>
      </c>
      <c r="P524" s="39"/>
      <c r="Q524" s="39"/>
      <c r="R524" s="39"/>
      <c r="S524" s="39"/>
      <c r="T524" s="39"/>
      <c r="U524" s="39"/>
      <c r="V524" s="39"/>
      <c r="W524" s="92"/>
    </row>
    <row r="525" spans="1:23" s="79" customFormat="1" ht="25.5" x14ac:dyDescent="0.2">
      <c r="A525" s="1" t="s">
        <v>93</v>
      </c>
      <c r="B525" s="2" t="s">
        <v>38</v>
      </c>
      <c r="C525" s="2" t="s">
        <v>94</v>
      </c>
      <c r="D525" s="2" t="s">
        <v>58</v>
      </c>
      <c r="E525" s="2">
        <v>2023</v>
      </c>
      <c r="F525" s="2" t="s">
        <v>188</v>
      </c>
      <c r="G525" s="2" t="s">
        <v>3095</v>
      </c>
      <c r="H525" s="2" t="s">
        <v>3092</v>
      </c>
      <c r="I525" s="1" t="s">
        <v>14</v>
      </c>
      <c r="J525" s="1" t="s">
        <v>4908</v>
      </c>
      <c r="K525" s="17"/>
      <c r="L525" s="54">
        <v>0.19</v>
      </c>
      <c r="M525" s="39"/>
      <c r="N525" s="39"/>
      <c r="O525" s="39">
        <v>153.88999999999999</v>
      </c>
      <c r="P525" s="39"/>
      <c r="Q525" s="39"/>
      <c r="R525" s="39"/>
      <c r="S525" s="39"/>
      <c r="T525" s="39"/>
      <c r="U525" s="39"/>
      <c r="V525" s="39"/>
      <c r="W525" s="92"/>
    </row>
    <row r="526" spans="1:23" s="79" customFormat="1" ht="25.5" x14ac:dyDescent="0.2">
      <c r="A526" s="1" t="s">
        <v>93</v>
      </c>
      <c r="B526" s="2" t="s">
        <v>38</v>
      </c>
      <c r="C526" s="2" t="s">
        <v>94</v>
      </c>
      <c r="D526" s="2" t="s">
        <v>58</v>
      </c>
      <c r="E526" s="2">
        <v>2023</v>
      </c>
      <c r="F526" s="2" t="s">
        <v>203</v>
      </c>
      <c r="G526" s="2" t="s">
        <v>3095</v>
      </c>
      <c r="H526" s="2" t="s">
        <v>3092</v>
      </c>
      <c r="I526" s="1" t="s">
        <v>14</v>
      </c>
      <c r="J526" s="1" t="s">
        <v>4909</v>
      </c>
      <c r="K526" s="17"/>
      <c r="L526" s="54">
        <v>0.17599999999999999</v>
      </c>
      <c r="M526" s="39"/>
      <c r="N526" s="39"/>
      <c r="O526" s="39">
        <v>184.71</v>
      </c>
      <c r="P526" s="39"/>
      <c r="Q526" s="39"/>
      <c r="R526" s="39"/>
      <c r="S526" s="39"/>
      <c r="T526" s="39"/>
      <c r="U526" s="39"/>
      <c r="V526" s="39"/>
      <c r="W526" s="92"/>
    </row>
    <row r="527" spans="1:23" s="79" customFormat="1" ht="25.5" x14ac:dyDescent="0.2">
      <c r="A527" s="1" t="s">
        <v>93</v>
      </c>
      <c r="B527" s="2" t="s">
        <v>38</v>
      </c>
      <c r="C527" s="2" t="s">
        <v>94</v>
      </c>
      <c r="D527" s="2" t="s">
        <v>58</v>
      </c>
      <c r="E527" s="2">
        <v>2023</v>
      </c>
      <c r="F527" s="2" t="s">
        <v>211</v>
      </c>
      <c r="G527" s="2" t="s">
        <v>3095</v>
      </c>
      <c r="H527" s="2" t="s">
        <v>3092</v>
      </c>
      <c r="I527" s="1" t="s">
        <v>14</v>
      </c>
      <c r="J527" s="1" t="s">
        <v>4910</v>
      </c>
      <c r="K527" s="17"/>
      <c r="L527" s="54">
        <v>0.17499999999999999</v>
      </c>
      <c r="M527" s="39"/>
      <c r="N527" s="39"/>
      <c r="O527" s="39">
        <v>117.29</v>
      </c>
      <c r="P527" s="39"/>
      <c r="Q527" s="39"/>
      <c r="R527" s="39"/>
      <c r="S527" s="39"/>
      <c r="T527" s="39"/>
      <c r="U527" s="39"/>
      <c r="V527" s="39"/>
      <c r="W527" s="92"/>
    </row>
    <row r="528" spans="1:23" s="79" customFormat="1" ht="25.5" x14ac:dyDescent="0.2">
      <c r="A528" s="1" t="s">
        <v>93</v>
      </c>
      <c r="B528" s="2" t="s">
        <v>38</v>
      </c>
      <c r="C528" s="2" t="s">
        <v>94</v>
      </c>
      <c r="D528" s="2" t="s">
        <v>58</v>
      </c>
      <c r="E528" s="2">
        <v>2023</v>
      </c>
      <c r="F528" s="2" t="s">
        <v>221</v>
      </c>
      <c r="G528" s="2" t="s">
        <v>3095</v>
      </c>
      <c r="H528" s="2" t="s">
        <v>3092</v>
      </c>
      <c r="I528" s="1" t="s">
        <v>14</v>
      </c>
      <c r="J528" s="1" t="s">
        <v>4911</v>
      </c>
      <c r="K528" s="17"/>
      <c r="L528" s="54">
        <v>0.18</v>
      </c>
      <c r="M528" s="39"/>
      <c r="N528" s="39"/>
      <c r="O528" s="39">
        <v>212.35</v>
      </c>
      <c r="P528" s="39"/>
      <c r="Q528" s="39"/>
      <c r="R528" s="39"/>
      <c r="S528" s="39"/>
      <c r="T528" s="39"/>
      <c r="U528" s="39"/>
      <c r="V528" s="39"/>
      <c r="W528" s="92"/>
    </row>
    <row r="529" spans="1:24" s="79" customFormat="1" ht="25.5" x14ac:dyDescent="0.2">
      <c r="A529" s="1" t="s">
        <v>93</v>
      </c>
      <c r="B529" s="2" t="s">
        <v>38</v>
      </c>
      <c r="C529" s="2" t="s">
        <v>94</v>
      </c>
      <c r="D529" s="2" t="s">
        <v>58</v>
      </c>
      <c r="E529" s="2">
        <v>2023</v>
      </c>
      <c r="F529" s="2" t="s">
        <v>256</v>
      </c>
      <c r="G529" s="2" t="s">
        <v>3095</v>
      </c>
      <c r="H529" s="2" t="s">
        <v>3092</v>
      </c>
      <c r="I529" s="1" t="s">
        <v>14</v>
      </c>
      <c r="J529" s="1" t="s">
        <v>4912</v>
      </c>
      <c r="K529" s="17"/>
      <c r="L529" s="54">
        <v>0.20019999999999999</v>
      </c>
      <c r="M529" s="39"/>
      <c r="N529" s="39"/>
      <c r="O529" s="39">
        <v>168.26</v>
      </c>
      <c r="P529" s="39"/>
      <c r="Q529" s="39"/>
      <c r="R529" s="39"/>
      <c r="S529" s="39"/>
      <c r="T529" s="39"/>
      <c r="U529" s="39"/>
      <c r="V529" s="39"/>
      <c r="W529" s="92"/>
    </row>
    <row r="530" spans="1:24" s="79" customFormat="1" ht="25.5" x14ac:dyDescent="0.2">
      <c r="A530" s="1" t="s">
        <v>93</v>
      </c>
      <c r="B530" s="2" t="s">
        <v>38</v>
      </c>
      <c r="C530" s="2" t="s">
        <v>94</v>
      </c>
      <c r="D530" s="2" t="s">
        <v>58</v>
      </c>
      <c r="E530" s="2">
        <v>2023</v>
      </c>
      <c r="F530" s="2" t="s">
        <v>276</v>
      </c>
      <c r="G530" s="2" t="s">
        <v>3095</v>
      </c>
      <c r="H530" s="2" t="s">
        <v>3092</v>
      </c>
      <c r="I530" s="1" t="s">
        <v>14</v>
      </c>
      <c r="J530" s="1" t="s">
        <v>4913</v>
      </c>
      <c r="K530" s="17"/>
      <c r="L530" s="54">
        <v>0.161</v>
      </c>
      <c r="M530" s="39"/>
      <c r="N530" s="39"/>
      <c r="O530" s="39">
        <v>185.05</v>
      </c>
      <c r="P530" s="39"/>
      <c r="Q530" s="39"/>
      <c r="R530" s="39"/>
      <c r="S530" s="39"/>
      <c r="T530" s="39"/>
      <c r="U530" s="39"/>
      <c r="V530" s="39"/>
      <c r="W530" s="92"/>
    </row>
    <row r="531" spans="1:24" s="79" customFormat="1" ht="25.5" x14ac:dyDescent="0.2">
      <c r="A531" s="1" t="s">
        <v>93</v>
      </c>
      <c r="B531" s="2" t="s">
        <v>38</v>
      </c>
      <c r="C531" s="2" t="s">
        <v>94</v>
      </c>
      <c r="D531" s="2" t="s">
        <v>58</v>
      </c>
      <c r="E531" s="2">
        <v>2023</v>
      </c>
      <c r="F531" s="2" t="s">
        <v>291</v>
      </c>
      <c r="G531" s="2" t="s">
        <v>3095</v>
      </c>
      <c r="H531" s="2" t="s">
        <v>3092</v>
      </c>
      <c r="I531" s="1" t="s">
        <v>14</v>
      </c>
      <c r="J531" s="1" t="s">
        <v>4914</v>
      </c>
      <c r="K531" s="17"/>
      <c r="L531" s="54">
        <v>0.191</v>
      </c>
      <c r="M531" s="39"/>
      <c r="N531" s="39"/>
      <c r="O531" s="39">
        <v>178.92</v>
      </c>
      <c r="P531" s="39"/>
      <c r="Q531" s="39"/>
      <c r="R531" s="39"/>
      <c r="S531" s="39"/>
      <c r="T531" s="39"/>
      <c r="U531" s="39"/>
      <c r="V531" s="39"/>
      <c r="W531" s="92"/>
    </row>
    <row r="532" spans="1:24" s="79" customFormat="1" ht="25.5" x14ac:dyDescent="0.2">
      <c r="A532" s="1" t="s">
        <v>93</v>
      </c>
      <c r="B532" s="2" t="s">
        <v>38</v>
      </c>
      <c r="C532" s="2" t="s">
        <v>94</v>
      </c>
      <c r="D532" s="2" t="s">
        <v>58</v>
      </c>
      <c r="E532" s="2">
        <v>2023</v>
      </c>
      <c r="F532" s="2" t="s">
        <v>311</v>
      </c>
      <c r="G532" s="2" t="s">
        <v>3095</v>
      </c>
      <c r="H532" s="2" t="s">
        <v>3092</v>
      </c>
      <c r="I532" s="1" t="s">
        <v>14</v>
      </c>
      <c r="J532" s="1" t="s">
        <v>4915</v>
      </c>
      <c r="K532" s="17"/>
      <c r="L532" s="54">
        <v>0.186</v>
      </c>
      <c r="M532" s="39"/>
      <c r="N532" s="39"/>
      <c r="O532" s="39">
        <v>159.9</v>
      </c>
      <c r="P532" s="39"/>
      <c r="Q532" s="39"/>
      <c r="R532" s="39"/>
      <c r="S532" s="39"/>
      <c r="T532" s="39"/>
      <c r="U532" s="39"/>
      <c r="V532" s="39"/>
      <c r="W532" s="92"/>
    </row>
    <row r="533" spans="1:24" s="79" customFormat="1" ht="25.5" x14ac:dyDescent="0.2">
      <c r="A533" s="1" t="s">
        <v>93</v>
      </c>
      <c r="B533" s="2" t="s">
        <v>38</v>
      </c>
      <c r="C533" s="2" t="s">
        <v>94</v>
      </c>
      <c r="D533" s="2" t="s">
        <v>58</v>
      </c>
      <c r="E533" s="2">
        <v>2023</v>
      </c>
      <c r="F533" s="2" t="s">
        <v>337</v>
      </c>
      <c r="G533" s="2" t="s">
        <v>3095</v>
      </c>
      <c r="H533" s="2" t="s">
        <v>3092</v>
      </c>
      <c r="I533" s="1" t="s">
        <v>14</v>
      </c>
      <c r="J533" s="1" t="s">
        <v>4916</v>
      </c>
      <c r="K533" s="17"/>
      <c r="L533" s="54">
        <v>0.17799999999999999</v>
      </c>
      <c r="M533" s="39"/>
      <c r="N533" s="39"/>
      <c r="O533" s="39">
        <v>175.54</v>
      </c>
      <c r="P533" s="39"/>
      <c r="Q533" s="39"/>
      <c r="R533" s="39"/>
      <c r="S533" s="39"/>
      <c r="T533" s="39"/>
      <c r="U533" s="39"/>
      <c r="V533" s="39"/>
      <c r="W533" s="92"/>
    </row>
    <row r="534" spans="1:24" s="79" customFormat="1" ht="25.5" x14ac:dyDescent="0.2">
      <c r="A534" s="1" t="s">
        <v>93</v>
      </c>
      <c r="B534" s="2" t="s">
        <v>38</v>
      </c>
      <c r="C534" s="2" t="s">
        <v>94</v>
      </c>
      <c r="D534" s="2" t="s">
        <v>58</v>
      </c>
      <c r="E534" s="2">
        <v>2023</v>
      </c>
      <c r="F534" s="2" t="s">
        <v>364</v>
      </c>
      <c r="G534" s="2" t="s">
        <v>3095</v>
      </c>
      <c r="H534" s="2" t="s">
        <v>3092</v>
      </c>
      <c r="I534" s="1" t="s">
        <v>14</v>
      </c>
      <c r="J534" s="1" t="s">
        <v>4917</v>
      </c>
      <c r="K534" s="17"/>
      <c r="L534" s="54">
        <v>0.185</v>
      </c>
      <c r="M534" s="39"/>
      <c r="N534" s="39"/>
      <c r="O534" s="39">
        <v>150.51</v>
      </c>
      <c r="P534" s="39"/>
      <c r="Q534" s="39"/>
      <c r="R534" s="39"/>
      <c r="S534" s="39"/>
      <c r="T534" s="39"/>
      <c r="U534" s="39"/>
      <c r="V534" s="39"/>
      <c r="W534" s="92"/>
    </row>
    <row r="535" spans="1:24" s="79" customFormat="1" ht="25.5" x14ac:dyDescent="0.2">
      <c r="A535" s="1" t="s">
        <v>93</v>
      </c>
      <c r="B535" s="2" t="s">
        <v>38</v>
      </c>
      <c r="C535" s="2" t="s">
        <v>94</v>
      </c>
      <c r="D535" s="2" t="s">
        <v>58</v>
      </c>
      <c r="E535" s="2">
        <v>2023</v>
      </c>
      <c r="F535" s="2" t="s">
        <v>388</v>
      </c>
      <c r="G535" s="2" t="s">
        <v>3095</v>
      </c>
      <c r="H535" s="2" t="s">
        <v>3092</v>
      </c>
      <c r="I535" s="1" t="s">
        <v>14</v>
      </c>
      <c r="J535" s="1" t="s">
        <v>4918</v>
      </c>
      <c r="K535" s="17"/>
      <c r="L535" s="53">
        <v>0.16800000000000001</v>
      </c>
      <c r="M535" s="59"/>
      <c r="N535" s="59"/>
      <c r="O535" s="39">
        <v>152.76</v>
      </c>
      <c r="P535" s="59"/>
      <c r="Q535" s="59"/>
      <c r="R535" s="59"/>
      <c r="S535" s="59"/>
      <c r="T535" s="59"/>
      <c r="U535" s="59"/>
      <c r="V535" s="59"/>
      <c r="W535" s="93"/>
      <c r="X535"/>
    </row>
    <row r="536" spans="1:24" s="79" customFormat="1" ht="63.75" x14ac:dyDescent="0.2">
      <c r="A536" s="1" t="s">
        <v>2463</v>
      </c>
      <c r="B536" s="2" t="s">
        <v>308</v>
      </c>
      <c r="C536" s="2" t="s">
        <v>2464</v>
      </c>
      <c r="D536" s="2" t="s">
        <v>71</v>
      </c>
      <c r="E536" s="2">
        <v>2023</v>
      </c>
      <c r="F536" s="2" t="s">
        <v>221</v>
      </c>
      <c r="G536" s="2" t="s">
        <v>3092</v>
      </c>
      <c r="H536" s="2" t="s">
        <v>3092</v>
      </c>
      <c r="I536" s="1" t="s">
        <v>4919</v>
      </c>
      <c r="J536" s="1" t="s">
        <v>4920</v>
      </c>
      <c r="K536" s="17"/>
      <c r="L536" s="54" t="s">
        <v>1670</v>
      </c>
      <c r="M536" s="39">
        <v>130</v>
      </c>
      <c r="N536" s="39"/>
      <c r="O536" s="39"/>
      <c r="P536" s="39"/>
      <c r="Q536" s="39"/>
      <c r="R536" s="39"/>
      <c r="S536" s="39"/>
      <c r="T536" s="39"/>
      <c r="U536" s="39"/>
      <c r="V536" s="39"/>
      <c r="W536" s="92" t="s">
        <v>1699</v>
      </c>
    </row>
    <row r="537" spans="1:24" s="79" customFormat="1" ht="51" x14ac:dyDescent="0.2">
      <c r="A537" s="1" t="s">
        <v>2463</v>
      </c>
      <c r="B537" s="2" t="s">
        <v>308</v>
      </c>
      <c r="C537" s="2" t="s">
        <v>2464</v>
      </c>
      <c r="D537" s="2" t="s">
        <v>71</v>
      </c>
      <c r="E537" s="2">
        <v>2023</v>
      </c>
      <c r="F537" s="2" t="s">
        <v>337</v>
      </c>
      <c r="G537" s="2" t="s">
        <v>3092</v>
      </c>
      <c r="H537" s="2" t="s">
        <v>3092</v>
      </c>
      <c r="I537" s="1" t="s">
        <v>4921</v>
      </c>
      <c r="J537" s="1" t="s">
        <v>4922</v>
      </c>
      <c r="K537" s="17"/>
      <c r="L537" s="54" t="s">
        <v>1670</v>
      </c>
      <c r="M537" s="39"/>
      <c r="N537" s="39"/>
      <c r="O537" s="39"/>
      <c r="P537" s="39"/>
      <c r="Q537" s="39"/>
      <c r="R537" s="39"/>
      <c r="S537" s="39"/>
      <c r="T537" s="39"/>
      <c r="U537" s="39"/>
      <c r="V537" s="39">
        <v>128</v>
      </c>
      <c r="W537" s="92" t="s">
        <v>1699</v>
      </c>
    </row>
    <row r="538" spans="1:24" s="79" customFormat="1" ht="63.75" x14ac:dyDescent="0.2">
      <c r="A538" s="1" t="s">
        <v>2463</v>
      </c>
      <c r="B538" s="2" t="s">
        <v>308</v>
      </c>
      <c r="C538" s="2" t="s">
        <v>2464</v>
      </c>
      <c r="D538" s="2" t="s">
        <v>71</v>
      </c>
      <c r="E538" s="2">
        <v>2023</v>
      </c>
      <c r="F538" s="2" t="s">
        <v>364</v>
      </c>
      <c r="G538" s="2" t="s">
        <v>3092</v>
      </c>
      <c r="H538" s="2" t="s">
        <v>3092</v>
      </c>
      <c r="I538" s="1" t="s">
        <v>4923</v>
      </c>
      <c r="J538" s="1" t="s">
        <v>4924</v>
      </c>
      <c r="K538" s="17"/>
      <c r="L538" s="54" t="s">
        <v>1670</v>
      </c>
      <c r="M538" s="39"/>
      <c r="N538" s="39"/>
      <c r="O538" s="39"/>
      <c r="P538" s="39"/>
      <c r="Q538" s="39"/>
      <c r="R538" s="39"/>
      <c r="S538" s="39"/>
      <c r="T538" s="39"/>
      <c r="U538" s="39"/>
      <c r="V538" s="39">
        <v>34</v>
      </c>
      <c r="W538" s="92" t="s">
        <v>1699</v>
      </c>
    </row>
    <row r="539" spans="1:24" s="79" customFormat="1" ht="63.75" x14ac:dyDescent="0.2">
      <c r="A539" s="1" t="s">
        <v>4925</v>
      </c>
      <c r="B539" s="2" t="s">
        <v>301</v>
      </c>
      <c r="C539" s="2" t="s">
        <v>4926</v>
      </c>
      <c r="D539" s="2" t="s">
        <v>346</v>
      </c>
      <c r="E539" s="2">
        <v>2023</v>
      </c>
      <c r="F539" s="2" t="s">
        <v>311</v>
      </c>
      <c r="G539" s="2" t="s">
        <v>3092</v>
      </c>
      <c r="H539" s="2" t="s">
        <v>3092</v>
      </c>
      <c r="I539" s="1" t="s">
        <v>4927</v>
      </c>
      <c r="J539" s="1" t="s">
        <v>4928</v>
      </c>
      <c r="K539" s="17"/>
      <c r="L539" s="54" t="s">
        <v>1670</v>
      </c>
      <c r="M539" s="39"/>
      <c r="N539" s="39"/>
      <c r="O539" s="39"/>
      <c r="P539" s="39"/>
      <c r="Q539" s="39"/>
      <c r="R539" s="39"/>
      <c r="S539" s="39"/>
      <c r="T539" s="39"/>
      <c r="U539" s="39"/>
      <c r="V539" s="39"/>
      <c r="W539" s="92" t="s">
        <v>4929</v>
      </c>
    </row>
    <row r="540" spans="1:24" s="79" customFormat="1" ht="38.25" x14ac:dyDescent="0.2">
      <c r="A540" s="1" t="s">
        <v>1169</v>
      </c>
      <c r="B540" s="2" t="s">
        <v>196</v>
      </c>
      <c r="C540" s="2" t="s">
        <v>1170</v>
      </c>
      <c r="D540" s="2" t="s">
        <v>473</v>
      </c>
      <c r="E540" s="2">
        <v>2023</v>
      </c>
      <c r="F540" s="2" t="s">
        <v>311</v>
      </c>
      <c r="G540" s="2" t="s">
        <v>3092</v>
      </c>
      <c r="H540" s="2" t="s">
        <v>3092</v>
      </c>
      <c r="I540" s="1" t="s">
        <v>4930</v>
      </c>
      <c r="J540" s="1" t="s">
        <v>4931</v>
      </c>
      <c r="K540" s="17"/>
      <c r="L540" s="54">
        <v>0.19950000000000001</v>
      </c>
      <c r="M540" s="39"/>
      <c r="N540" s="39"/>
      <c r="O540" s="39">
        <f>162.69/L540</f>
        <v>815.48872180451121</v>
      </c>
      <c r="P540" s="39"/>
      <c r="Q540" s="39"/>
      <c r="R540" s="39"/>
      <c r="S540" s="39"/>
      <c r="T540" s="39"/>
      <c r="U540" s="39"/>
      <c r="V540" s="39"/>
      <c r="W540" s="92" t="s">
        <v>2143</v>
      </c>
    </row>
    <row r="541" spans="1:24" s="79" customFormat="1" ht="114.75" x14ac:dyDescent="0.2">
      <c r="A541" s="1" t="s">
        <v>95</v>
      </c>
      <c r="B541" s="2" t="s">
        <v>24</v>
      </c>
      <c r="C541" s="2" t="s">
        <v>96</v>
      </c>
      <c r="D541" s="2" t="s">
        <v>97</v>
      </c>
      <c r="E541" s="2">
        <v>2023</v>
      </c>
      <c r="F541" s="2" t="s">
        <v>13</v>
      </c>
      <c r="G541" s="2" t="s">
        <v>3093</v>
      </c>
      <c r="H541" s="2" t="s">
        <v>3092</v>
      </c>
      <c r="I541" s="1" t="s">
        <v>14</v>
      </c>
      <c r="J541" s="1" t="s">
        <v>4932</v>
      </c>
      <c r="K541" s="17"/>
      <c r="L541" s="53">
        <v>0.2</v>
      </c>
      <c r="M541" s="39"/>
      <c r="N541" s="15">
        <f>(40995*0.0387/L541)*1/4</f>
        <v>1983.1331249999998</v>
      </c>
      <c r="O541" s="39"/>
      <c r="P541" s="39"/>
      <c r="Q541" s="39"/>
      <c r="R541" s="3"/>
      <c r="S541" s="39"/>
      <c r="T541" s="39">
        <f>(40995*0.0387/L541)*3/4</f>
        <v>5949.3993749999991</v>
      </c>
      <c r="U541" s="39"/>
      <c r="V541" s="39"/>
      <c r="W541" s="92" t="s">
        <v>4933</v>
      </c>
    </row>
    <row r="542" spans="1:24" s="79" customFormat="1" ht="127.5" x14ac:dyDescent="0.2">
      <c r="A542" s="1" t="s">
        <v>95</v>
      </c>
      <c r="B542" s="2" t="s">
        <v>24</v>
      </c>
      <c r="C542" s="2" t="s">
        <v>96</v>
      </c>
      <c r="D542" s="2" t="s">
        <v>97</v>
      </c>
      <c r="E542" s="2">
        <v>2023</v>
      </c>
      <c r="F542" s="2" t="s">
        <v>188</v>
      </c>
      <c r="G542" s="2" t="s">
        <v>3093</v>
      </c>
      <c r="H542" s="2" t="s">
        <v>3092</v>
      </c>
      <c r="I542" s="1" t="s">
        <v>14</v>
      </c>
      <c r="J542" s="1" t="s">
        <v>4934</v>
      </c>
      <c r="K542" s="17"/>
      <c r="L542" s="54">
        <v>0.2</v>
      </c>
      <c r="M542" s="39"/>
      <c r="N542" s="15">
        <f>(38906*0.0401/L542)*1/3</f>
        <v>2600.2176666666664</v>
      </c>
      <c r="O542" s="39"/>
      <c r="P542" s="39"/>
      <c r="Q542" s="39"/>
      <c r="R542" s="3"/>
      <c r="S542" s="39"/>
      <c r="T542" s="39">
        <f>(38906*0.0401/L542)*2/3</f>
        <v>5200.4353333333329</v>
      </c>
      <c r="U542" s="39"/>
      <c r="V542" s="39"/>
      <c r="W542" s="92" t="s">
        <v>4933</v>
      </c>
    </row>
    <row r="543" spans="1:24" s="79" customFormat="1" ht="114.75" x14ac:dyDescent="0.2">
      <c r="A543" s="1" t="s">
        <v>95</v>
      </c>
      <c r="B543" s="2" t="s">
        <v>24</v>
      </c>
      <c r="C543" s="2" t="s">
        <v>96</v>
      </c>
      <c r="D543" s="2" t="s">
        <v>97</v>
      </c>
      <c r="E543" s="2">
        <v>2023</v>
      </c>
      <c r="F543" s="2" t="s">
        <v>203</v>
      </c>
      <c r="G543" s="2" t="s">
        <v>3093</v>
      </c>
      <c r="H543" s="2" t="s">
        <v>3092</v>
      </c>
      <c r="I543" s="1" t="s">
        <v>14</v>
      </c>
      <c r="J543" s="1" t="s">
        <v>4935</v>
      </c>
      <c r="K543" s="17"/>
      <c r="L543" s="54">
        <v>0.2</v>
      </c>
      <c r="M543" s="39"/>
      <c r="N543" s="15">
        <f>(41318*0.0402/L543)*1/10</f>
        <v>830.49180000000001</v>
      </c>
      <c r="O543" s="39"/>
      <c r="P543" s="39"/>
      <c r="Q543" s="39"/>
      <c r="R543" s="3"/>
      <c r="S543" s="39"/>
      <c r="T543" s="39">
        <f>(41318*0.0402/L543)*9/10</f>
        <v>7474.4261999999999</v>
      </c>
      <c r="U543" s="39"/>
      <c r="V543" s="39"/>
      <c r="W543" s="92" t="s">
        <v>4933</v>
      </c>
    </row>
    <row r="544" spans="1:24" s="79" customFormat="1" ht="127.5" x14ac:dyDescent="0.2">
      <c r="A544" s="1" t="s">
        <v>95</v>
      </c>
      <c r="B544" s="2" t="s">
        <v>24</v>
      </c>
      <c r="C544" s="2" t="s">
        <v>96</v>
      </c>
      <c r="D544" s="2" t="s">
        <v>97</v>
      </c>
      <c r="E544" s="2">
        <v>2023</v>
      </c>
      <c r="F544" s="2" t="s">
        <v>211</v>
      </c>
      <c r="G544" s="2" t="s">
        <v>3093</v>
      </c>
      <c r="H544" s="2" t="s">
        <v>3092</v>
      </c>
      <c r="I544" s="1" t="s">
        <v>14</v>
      </c>
      <c r="J544" s="1" t="s">
        <v>4936</v>
      </c>
      <c r="K544" s="17"/>
      <c r="L544" s="54">
        <v>0.2</v>
      </c>
      <c r="M544" s="39"/>
      <c r="N544" s="15">
        <f>(44664*0.0431/L544)*1/10</f>
        <v>962.50919999999985</v>
      </c>
      <c r="O544" s="39"/>
      <c r="P544" s="39"/>
      <c r="Q544" s="39"/>
      <c r="R544" s="3"/>
      <c r="S544" s="39"/>
      <c r="T544" s="39">
        <f>(44664*0.0431/L544)*9/10</f>
        <v>8662.5828000000001</v>
      </c>
      <c r="U544" s="39"/>
      <c r="V544" s="39"/>
      <c r="W544" s="92" t="s">
        <v>4933</v>
      </c>
    </row>
    <row r="545" spans="1:23" s="79" customFormat="1" ht="114.75" x14ac:dyDescent="0.2">
      <c r="A545" s="1" t="s">
        <v>95</v>
      </c>
      <c r="B545" s="2" t="s">
        <v>24</v>
      </c>
      <c r="C545" s="2" t="s">
        <v>96</v>
      </c>
      <c r="D545" s="2" t="s">
        <v>97</v>
      </c>
      <c r="E545" s="2">
        <v>2023</v>
      </c>
      <c r="F545" s="2" t="s">
        <v>221</v>
      </c>
      <c r="G545" s="2" t="s">
        <v>3093</v>
      </c>
      <c r="H545" s="2" t="s">
        <v>3092</v>
      </c>
      <c r="I545" s="1" t="s">
        <v>14</v>
      </c>
      <c r="J545" s="1" t="s">
        <v>4937</v>
      </c>
      <c r="K545" s="17"/>
      <c r="L545" s="54">
        <v>0.2</v>
      </c>
      <c r="M545" s="39"/>
      <c r="N545" s="15">
        <f>44628*0.0457/L545</f>
        <v>10197.498</v>
      </c>
      <c r="O545" s="39"/>
      <c r="P545" s="39"/>
      <c r="Q545" s="39"/>
      <c r="R545" s="3"/>
      <c r="S545" s="39"/>
      <c r="T545" s="3"/>
      <c r="U545" s="39"/>
      <c r="V545" s="39"/>
      <c r="W545" s="92" t="s">
        <v>4933</v>
      </c>
    </row>
    <row r="546" spans="1:23" s="79" customFormat="1" ht="102" x14ac:dyDescent="0.2">
      <c r="A546" s="1" t="s">
        <v>95</v>
      </c>
      <c r="B546" s="2" t="s">
        <v>24</v>
      </c>
      <c r="C546" s="2" t="s">
        <v>96</v>
      </c>
      <c r="D546" s="2" t="s">
        <v>97</v>
      </c>
      <c r="E546" s="2">
        <v>2023</v>
      </c>
      <c r="F546" s="2" t="s">
        <v>256</v>
      </c>
      <c r="G546" s="2" t="s">
        <v>3093</v>
      </c>
      <c r="H546" s="2" t="s">
        <v>3092</v>
      </c>
      <c r="I546" s="1" t="s">
        <v>14</v>
      </c>
      <c r="J546" s="1" t="s">
        <v>4938</v>
      </c>
      <c r="K546" s="17"/>
      <c r="L546" s="54">
        <v>0.2</v>
      </c>
      <c r="M546" s="39"/>
      <c r="N546" s="15">
        <f>37387*0.0581/L546</f>
        <v>10860.923499999999</v>
      </c>
      <c r="O546" s="39"/>
      <c r="P546" s="39"/>
      <c r="Q546" s="39"/>
      <c r="R546" s="3"/>
      <c r="S546" s="39"/>
      <c r="T546" s="3"/>
      <c r="U546" s="39"/>
      <c r="V546" s="39"/>
      <c r="W546" s="92" t="s">
        <v>4933</v>
      </c>
    </row>
    <row r="547" spans="1:23" s="79" customFormat="1" ht="114.75" x14ac:dyDescent="0.2">
      <c r="A547" s="1" t="s">
        <v>95</v>
      </c>
      <c r="B547" s="2" t="s">
        <v>24</v>
      </c>
      <c r="C547" s="2" t="s">
        <v>96</v>
      </c>
      <c r="D547" s="2" t="s">
        <v>97</v>
      </c>
      <c r="E547" s="2">
        <v>2023</v>
      </c>
      <c r="F547" s="2" t="s">
        <v>276</v>
      </c>
      <c r="G547" s="2" t="s">
        <v>3093</v>
      </c>
      <c r="H547" s="2" t="s">
        <v>3092</v>
      </c>
      <c r="I547" s="1" t="s">
        <v>14</v>
      </c>
      <c r="J547" s="1" t="s">
        <v>4939</v>
      </c>
      <c r="K547" s="17"/>
      <c r="L547" s="54">
        <v>0.2</v>
      </c>
      <c r="M547" s="39"/>
      <c r="N547" s="15">
        <f>36086*0.0547/L547</f>
        <v>9869.5209999999988</v>
      </c>
      <c r="O547" s="39"/>
      <c r="P547" s="39"/>
      <c r="Q547" s="39"/>
      <c r="R547" s="3"/>
      <c r="S547" s="39"/>
      <c r="T547" s="3"/>
      <c r="U547" s="39"/>
      <c r="V547" s="39"/>
      <c r="W547" s="92" t="s">
        <v>4933</v>
      </c>
    </row>
    <row r="548" spans="1:23" s="79" customFormat="1" ht="114.75" x14ac:dyDescent="0.2">
      <c r="A548" s="1" t="s">
        <v>95</v>
      </c>
      <c r="B548" s="2" t="s">
        <v>24</v>
      </c>
      <c r="C548" s="2" t="s">
        <v>96</v>
      </c>
      <c r="D548" s="2" t="s">
        <v>97</v>
      </c>
      <c r="E548" s="2">
        <v>2023</v>
      </c>
      <c r="F548" s="2" t="s">
        <v>291</v>
      </c>
      <c r="G548" s="2" t="s">
        <v>3093</v>
      </c>
      <c r="H548" s="2" t="s">
        <v>3092</v>
      </c>
      <c r="I548" s="1" t="s">
        <v>14</v>
      </c>
      <c r="J548" s="1" t="s">
        <v>4940</v>
      </c>
      <c r="K548" s="17"/>
      <c r="L548" s="54">
        <v>0.2</v>
      </c>
      <c r="M548" s="39"/>
      <c r="N548" s="15">
        <f>34038*0.0482/L548</f>
        <v>8203.1579999999994</v>
      </c>
      <c r="O548" s="39"/>
      <c r="P548" s="39"/>
      <c r="Q548" s="39"/>
      <c r="R548" s="3"/>
      <c r="S548" s="39"/>
      <c r="T548" s="3"/>
      <c r="U548" s="39"/>
      <c r="V548" s="39"/>
      <c r="W548" s="92" t="s">
        <v>4933</v>
      </c>
    </row>
    <row r="549" spans="1:23" s="79" customFormat="1" ht="114.75" x14ac:dyDescent="0.2">
      <c r="A549" s="1" t="s">
        <v>95</v>
      </c>
      <c r="B549" s="2" t="s">
        <v>24</v>
      </c>
      <c r="C549" s="2" t="s">
        <v>96</v>
      </c>
      <c r="D549" s="2" t="s">
        <v>97</v>
      </c>
      <c r="E549" s="2">
        <v>2023</v>
      </c>
      <c r="F549" s="2" t="s">
        <v>311</v>
      </c>
      <c r="G549" s="2" t="s">
        <v>3093</v>
      </c>
      <c r="H549" s="2" t="s">
        <v>3092</v>
      </c>
      <c r="I549" s="1" t="s">
        <v>14</v>
      </c>
      <c r="J549" s="1" t="s">
        <v>4941</v>
      </c>
      <c r="K549" s="17"/>
      <c r="L549" s="54">
        <v>0.2</v>
      </c>
      <c r="M549" s="39"/>
      <c r="N549" s="15">
        <f>36123*0.0499/L549</f>
        <v>9012.6885000000002</v>
      </c>
      <c r="O549" s="39"/>
      <c r="P549" s="39"/>
      <c r="Q549" s="39"/>
      <c r="R549" s="3"/>
      <c r="S549" s="39"/>
      <c r="T549" s="3"/>
      <c r="U549" s="39"/>
      <c r="V549" s="39"/>
      <c r="W549" s="92" t="s">
        <v>4933</v>
      </c>
    </row>
    <row r="550" spans="1:23" s="79" customFormat="1" ht="114.75" x14ac:dyDescent="0.2">
      <c r="A550" s="1" t="s">
        <v>95</v>
      </c>
      <c r="B550" s="2" t="s">
        <v>24</v>
      </c>
      <c r="C550" s="2" t="s">
        <v>96</v>
      </c>
      <c r="D550" s="2" t="s">
        <v>97</v>
      </c>
      <c r="E550" s="2">
        <v>2023</v>
      </c>
      <c r="F550" s="2" t="s">
        <v>337</v>
      </c>
      <c r="G550" s="2" t="s">
        <v>3093</v>
      </c>
      <c r="H550" s="2" t="s">
        <v>3092</v>
      </c>
      <c r="I550" s="1" t="s">
        <v>4942</v>
      </c>
      <c r="J550" s="1" t="s">
        <v>4943</v>
      </c>
      <c r="K550" s="17"/>
      <c r="L550" s="54">
        <v>0.2</v>
      </c>
      <c r="M550" s="39"/>
      <c r="N550" s="15">
        <f>37066*0.0525/L550</f>
        <v>9729.8249999999989</v>
      </c>
      <c r="O550" s="39"/>
      <c r="P550" s="39"/>
      <c r="Q550" s="39"/>
      <c r="R550" s="3"/>
      <c r="S550" s="3"/>
      <c r="T550" s="3"/>
      <c r="U550" s="39"/>
      <c r="V550" s="39"/>
      <c r="W550" s="92" t="s">
        <v>4933</v>
      </c>
    </row>
    <row r="551" spans="1:23" s="79" customFormat="1" ht="114.75" x14ac:dyDescent="0.2">
      <c r="A551" s="1" t="s">
        <v>95</v>
      </c>
      <c r="B551" s="2" t="s">
        <v>24</v>
      </c>
      <c r="C551" s="2" t="s">
        <v>96</v>
      </c>
      <c r="D551" s="2" t="s">
        <v>97</v>
      </c>
      <c r="E551" s="2">
        <v>2023</v>
      </c>
      <c r="F551" s="2" t="s">
        <v>364</v>
      </c>
      <c r="G551" s="2" t="s">
        <v>3093</v>
      </c>
      <c r="H551" s="2" t="s">
        <v>3092</v>
      </c>
      <c r="I551" s="1" t="s">
        <v>14</v>
      </c>
      <c r="J551" s="1" t="s">
        <v>4944</v>
      </c>
      <c r="K551" s="17"/>
      <c r="L551" s="54">
        <v>0.2</v>
      </c>
      <c r="M551" s="15"/>
      <c r="N551" s="15">
        <f>32515*0.0487/L551</f>
        <v>7917.4025000000001</v>
      </c>
      <c r="O551" s="15"/>
      <c r="P551" s="15"/>
      <c r="Q551" s="15"/>
      <c r="R551" s="3"/>
      <c r="S551" s="15"/>
      <c r="T551" s="3"/>
      <c r="U551" s="15"/>
      <c r="V551" s="15"/>
      <c r="W551" s="92" t="s">
        <v>4933</v>
      </c>
    </row>
    <row r="552" spans="1:23" s="79" customFormat="1" ht="114.75" x14ac:dyDescent="0.2">
      <c r="A552" s="1" t="s">
        <v>95</v>
      </c>
      <c r="B552" s="2" t="s">
        <v>24</v>
      </c>
      <c r="C552" s="2" t="s">
        <v>96</v>
      </c>
      <c r="D552" s="2" t="s">
        <v>97</v>
      </c>
      <c r="E552" s="2">
        <v>2023</v>
      </c>
      <c r="F552" s="2" t="s">
        <v>388</v>
      </c>
      <c r="G552" s="2" t="s">
        <v>3093</v>
      </c>
      <c r="H552" s="2" t="s">
        <v>3092</v>
      </c>
      <c r="I552" s="1" t="s">
        <v>14</v>
      </c>
      <c r="J552" s="1" t="s">
        <v>4945</v>
      </c>
      <c r="K552" s="17"/>
      <c r="L552" s="54">
        <v>0.2</v>
      </c>
      <c r="M552" s="39"/>
      <c r="N552" s="15">
        <f>37840*0.0473/L552</f>
        <v>8949.16</v>
      </c>
      <c r="O552" s="39"/>
      <c r="P552" s="39"/>
      <c r="Q552" s="39"/>
      <c r="R552" s="3"/>
      <c r="S552" s="39"/>
      <c r="T552" s="3"/>
      <c r="U552" s="39"/>
      <c r="V552" s="39"/>
      <c r="W552" s="92" t="s">
        <v>4933</v>
      </c>
    </row>
    <row r="553" spans="1:23" s="79" customFormat="1" ht="127.5" x14ac:dyDescent="0.2">
      <c r="A553" s="1" t="s">
        <v>103</v>
      </c>
      <c r="B553" s="2" t="s">
        <v>24</v>
      </c>
      <c r="C553" s="2" t="s">
        <v>96</v>
      </c>
      <c r="D553" s="2" t="s">
        <v>97</v>
      </c>
      <c r="E553" s="2">
        <v>2023</v>
      </c>
      <c r="F553" s="2" t="s">
        <v>13</v>
      </c>
      <c r="G553" s="2" t="s">
        <v>3093</v>
      </c>
      <c r="H553" s="2" t="s">
        <v>3092</v>
      </c>
      <c r="I553" s="1" t="s">
        <v>14</v>
      </c>
      <c r="J553" s="1" t="s">
        <v>4946</v>
      </c>
      <c r="K553" s="17"/>
      <c r="L553" s="54"/>
      <c r="M553" s="39"/>
      <c r="N553" s="39"/>
      <c r="O553" s="39"/>
      <c r="P553" s="39"/>
      <c r="Q553" s="39"/>
      <c r="R553" s="39"/>
      <c r="S553" s="39"/>
      <c r="T553" s="39"/>
      <c r="U553" s="39"/>
      <c r="V553" s="39"/>
      <c r="W553" s="92" t="s">
        <v>3732</v>
      </c>
    </row>
    <row r="554" spans="1:23" s="79" customFormat="1" ht="127.5" x14ac:dyDescent="0.2">
      <c r="A554" s="1" t="s">
        <v>103</v>
      </c>
      <c r="B554" s="2" t="s">
        <v>24</v>
      </c>
      <c r="C554" s="2" t="s">
        <v>96</v>
      </c>
      <c r="D554" s="2" t="s">
        <v>97</v>
      </c>
      <c r="E554" s="2">
        <v>2023</v>
      </c>
      <c r="F554" s="2" t="s">
        <v>188</v>
      </c>
      <c r="G554" s="2" t="s">
        <v>3093</v>
      </c>
      <c r="H554" s="2" t="s">
        <v>3092</v>
      </c>
      <c r="I554" s="1" t="s">
        <v>14</v>
      </c>
      <c r="J554" s="1" t="s">
        <v>4947</v>
      </c>
      <c r="K554" s="17"/>
      <c r="L554" s="54"/>
      <c r="M554" s="39"/>
      <c r="N554" s="39"/>
      <c r="O554" s="39"/>
      <c r="P554" s="39"/>
      <c r="Q554" s="39"/>
      <c r="R554" s="39"/>
      <c r="S554" s="39"/>
      <c r="T554" s="39"/>
      <c r="U554" s="39"/>
      <c r="V554" s="39"/>
      <c r="W554" s="92" t="s">
        <v>3732</v>
      </c>
    </row>
    <row r="555" spans="1:23" s="79" customFormat="1" ht="127.5" x14ac:dyDescent="0.2">
      <c r="A555" s="1" t="s">
        <v>103</v>
      </c>
      <c r="B555" s="2" t="s">
        <v>24</v>
      </c>
      <c r="C555" s="2" t="s">
        <v>96</v>
      </c>
      <c r="D555" s="2" t="s">
        <v>97</v>
      </c>
      <c r="E555" s="2">
        <v>2023</v>
      </c>
      <c r="F555" s="2" t="s">
        <v>203</v>
      </c>
      <c r="G555" s="2" t="s">
        <v>3093</v>
      </c>
      <c r="H555" s="2" t="s">
        <v>3092</v>
      </c>
      <c r="I555" s="1" t="s">
        <v>14</v>
      </c>
      <c r="J555" s="1" t="s">
        <v>4948</v>
      </c>
      <c r="K555" s="17"/>
      <c r="L555" s="54"/>
      <c r="M555" s="39"/>
      <c r="N555" s="39"/>
      <c r="O555" s="39"/>
      <c r="P555" s="39"/>
      <c r="Q555" s="39"/>
      <c r="R555" s="39"/>
      <c r="S555" s="39"/>
      <c r="T555" s="39"/>
      <c r="U555" s="39"/>
      <c r="V555" s="39"/>
      <c r="W555" s="92" t="s">
        <v>3732</v>
      </c>
    </row>
    <row r="556" spans="1:23" s="79" customFormat="1" ht="127.5" x14ac:dyDescent="0.2">
      <c r="A556" s="1" t="s">
        <v>103</v>
      </c>
      <c r="B556" s="2" t="s">
        <v>24</v>
      </c>
      <c r="C556" s="2" t="s">
        <v>96</v>
      </c>
      <c r="D556" s="2" t="s">
        <v>97</v>
      </c>
      <c r="E556" s="2">
        <v>2023</v>
      </c>
      <c r="F556" s="2" t="s">
        <v>211</v>
      </c>
      <c r="G556" s="2" t="s">
        <v>3093</v>
      </c>
      <c r="H556" s="2" t="s">
        <v>3092</v>
      </c>
      <c r="I556" s="1" t="s">
        <v>14</v>
      </c>
      <c r="J556" s="1" t="s">
        <v>4936</v>
      </c>
      <c r="K556" s="17"/>
      <c r="L556" s="54"/>
      <c r="M556" s="39"/>
      <c r="N556" s="39"/>
      <c r="O556" s="39"/>
      <c r="P556" s="39"/>
      <c r="Q556" s="39"/>
      <c r="R556" s="39"/>
      <c r="S556" s="39"/>
      <c r="T556" s="39"/>
      <c r="U556" s="39"/>
      <c r="V556" s="39"/>
      <c r="W556" s="92" t="s">
        <v>3732</v>
      </c>
    </row>
    <row r="557" spans="1:23" s="79" customFormat="1" ht="114.75" x14ac:dyDescent="0.2">
      <c r="A557" s="1" t="s">
        <v>103</v>
      </c>
      <c r="B557" s="2" t="s">
        <v>24</v>
      </c>
      <c r="C557" s="2" t="s">
        <v>96</v>
      </c>
      <c r="D557" s="2" t="s">
        <v>97</v>
      </c>
      <c r="E557" s="2">
        <v>2023</v>
      </c>
      <c r="F557" s="2" t="s">
        <v>221</v>
      </c>
      <c r="G557" s="2" t="s">
        <v>3093</v>
      </c>
      <c r="H557" s="2" t="s">
        <v>3092</v>
      </c>
      <c r="I557" s="1" t="s">
        <v>14</v>
      </c>
      <c r="J557" s="1" t="s">
        <v>4937</v>
      </c>
      <c r="K557" s="17"/>
      <c r="L557" s="54"/>
      <c r="M557" s="39"/>
      <c r="N557" s="39"/>
      <c r="O557" s="39"/>
      <c r="P557" s="39"/>
      <c r="Q557" s="39"/>
      <c r="R557" s="39"/>
      <c r="S557" s="39"/>
      <c r="T557" s="39"/>
      <c r="U557" s="39"/>
      <c r="V557" s="39"/>
      <c r="W557" s="92" t="s">
        <v>3732</v>
      </c>
    </row>
    <row r="558" spans="1:23" s="79" customFormat="1" ht="114.75" x14ac:dyDescent="0.2">
      <c r="A558" s="1" t="s">
        <v>103</v>
      </c>
      <c r="B558" s="2" t="s">
        <v>24</v>
      </c>
      <c r="C558" s="2" t="s">
        <v>96</v>
      </c>
      <c r="D558" s="2" t="s">
        <v>97</v>
      </c>
      <c r="E558" s="2">
        <v>2023</v>
      </c>
      <c r="F558" s="2" t="s">
        <v>256</v>
      </c>
      <c r="G558" s="2" t="s">
        <v>3093</v>
      </c>
      <c r="H558" s="2" t="s">
        <v>3092</v>
      </c>
      <c r="I558" s="1" t="s">
        <v>14</v>
      </c>
      <c r="J558" s="1" t="s">
        <v>4949</v>
      </c>
      <c r="K558" s="17"/>
      <c r="L558" s="54"/>
      <c r="M558" s="15"/>
      <c r="N558" s="15"/>
      <c r="O558" s="15"/>
      <c r="P558" s="15"/>
      <c r="Q558" s="15"/>
      <c r="R558" s="15"/>
      <c r="S558" s="15"/>
      <c r="T558" s="15"/>
      <c r="U558" s="15"/>
      <c r="V558" s="15"/>
      <c r="W558" s="92" t="s">
        <v>3732</v>
      </c>
    </row>
    <row r="559" spans="1:23" s="79" customFormat="1" ht="114.75" x14ac:dyDescent="0.2">
      <c r="A559" s="1" t="s">
        <v>103</v>
      </c>
      <c r="B559" s="2" t="s">
        <v>24</v>
      </c>
      <c r="C559" s="2" t="s">
        <v>96</v>
      </c>
      <c r="D559" s="2" t="s">
        <v>97</v>
      </c>
      <c r="E559" s="2">
        <v>2023</v>
      </c>
      <c r="F559" s="2" t="s">
        <v>276</v>
      </c>
      <c r="G559" s="2" t="s">
        <v>3093</v>
      </c>
      <c r="H559" s="2" t="s">
        <v>3092</v>
      </c>
      <c r="I559" s="1" t="s">
        <v>14</v>
      </c>
      <c r="J559" s="1" t="s">
        <v>4939</v>
      </c>
      <c r="K559" s="17"/>
      <c r="L559" s="54"/>
      <c r="M559" s="39"/>
      <c r="N559" s="39"/>
      <c r="O559" s="39"/>
      <c r="P559" s="39"/>
      <c r="Q559" s="39"/>
      <c r="R559" s="39"/>
      <c r="S559" s="39"/>
      <c r="T559" s="14"/>
      <c r="U559" s="39"/>
      <c r="V559" s="39"/>
      <c r="W559" s="92" t="s">
        <v>3732</v>
      </c>
    </row>
    <row r="560" spans="1:23" s="79" customFormat="1" ht="114.75" x14ac:dyDescent="0.2">
      <c r="A560" s="1" t="s">
        <v>103</v>
      </c>
      <c r="B560" s="2" t="s">
        <v>24</v>
      </c>
      <c r="C560" s="2" t="s">
        <v>96</v>
      </c>
      <c r="D560" s="2" t="s">
        <v>97</v>
      </c>
      <c r="E560" s="2">
        <v>2023</v>
      </c>
      <c r="F560" s="2" t="s">
        <v>291</v>
      </c>
      <c r="G560" s="2" t="s">
        <v>3093</v>
      </c>
      <c r="H560" s="2" t="s">
        <v>3092</v>
      </c>
      <c r="I560" s="1" t="s">
        <v>14</v>
      </c>
      <c r="J560" s="1" t="s">
        <v>4950</v>
      </c>
      <c r="K560" s="17"/>
      <c r="L560" s="54"/>
      <c r="M560" s="39"/>
      <c r="N560" s="39"/>
      <c r="O560" s="39"/>
      <c r="P560" s="39"/>
      <c r="Q560" s="39"/>
      <c r="R560" s="39"/>
      <c r="S560" s="39"/>
      <c r="T560" s="39"/>
      <c r="U560" s="39"/>
      <c r="V560" s="39"/>
      <c r="W560" s="92" t="s">
        <v>3732</v>
      </c>
    </row>
    <row r="561" spans="1:24" s="79" customFormat="1" ht="114.75" x14ac:dyDescent="0.2">
      <c r="A561" s="1" t="s">
        <v>103</v>
      </c>
      <c r="B561" s="2" t="s">
        <v>24</v>
      </c>
      <c r="C561" s="2" t="s">
        <v>96</v>
      </c>
      <c r="D561" s="2" t="s">
        <v>97</v>
      </c>
      <c r="E561" s="2">
        <v>2023</v>
      </c>
      <c r="F561" s="2" t="s">
        <v>311</v>
      </c>
      <c r="G561" s="2" t="s">
        <v>3093</v>
      </c>
      <c r="H561" s="2" t="s">
        <v>3092</v>
      </c>
      <c r="I561" s="1" t="s">
        <v>14</v>
      </c>
      <c r="J561" s="1" t="s">
        <v>4951</v>
      </c>
      <c r="K561" s="17"/>
      <c r="L561" s="54"/>
      <c r="M561" s="39"/>
      <c r="N561" s="39"/>
      <c r="O561" s="39"/>
      <c r="P561" s="39"/>
      <c r="Q561" s="39"/>
      <c r="R561" s="39"/>
      <c r="S561" s="39"/>
      <c r="T561" s="39"/>
      <c r="U561" s="39"/>
      <c r="V561" s="39"/>
      <c r="W561" s="92" t="s">
        <v>3732</v>
      </c>
    </row>
    <row r="562" spans="1:24" s="79" customFormat="1" ht="114.75" x14ac:dyDescent="0.2">
      <c r="A562" s="1" t="s">
        <v>103</v>
      </c>
      <c r="B562" s="2" t="s">
        <v>24</v>
      </c>
      <c r="C562" s="2" t="s">
        <v>96</v>
      </c>
      <c r="D562" s="2" t="s">
        <v>97</v>
      </c>
      <c r="E562" s="2">
        <v>2023</v>
      </c>
      <c r="F562" s="2" t="s">
        <v>337</v>
      </c>
      <c r="G562" s="2" t="s">
        <v>3093</v>
      </c>
      <c r="H562" s="2" t="s">
        <v>3092</v>
      </c>
      <c r="I562" s="1" t="s">
        <v>14</v>
      </c>
      <c r="J562" s="1" t="s">
        <v>4952</v>
      </c>
      <c r="K562" s="17"/>
      <c r="L562" s="54"/>
      <c r="M562" s="39"/>
      <c r="N562" s="39"/>
      <c r="O562" s="39"/>
      <c r="P562" s="39"/>
      <c r="Q562" s="39"/>
      <c r="R562" s="39"/>
      <c r="S562" s="39"/>
      <c r="T562" s="39"/>
      <c r="U562" s="39"/>
      <c r="V562" s="39"/>
      <c r="W562" s="92" t="s">
        <v>3732</v>
      </c>
    </row>
    <row r="563" spans="1:24" s="79" customFormat="1" ht="114.75" x14ac:dyDescent="0.2">
      <c r="A563" s="1" t="s">
        <v>103</v>
      </c>
      <c r="B563" s="2" t="s">
        <v>24</v>
      </c>
      <c r="C563" s="2" t="s">
        <v>96</v>
      </c>
      <c r="D563" s="2" t="s">
        <v>97</v>
      </c>
      <c r="E563" s="2">
        <v>2023</v>
      </c>
      <c r="F563" s="2" t="s">
        <v>364</v>
      </c>
      <c r="G563" s="2" t="s">
        <v>3093</v>
      </c>
      <c r="H563" s="2" t="s">
        <v>3092</v>
      </c>
      <c r="I563" s="1" t="s">
        <v>14</v>
      </c>
      <c r="J563" s="1" t="s">
        <v>4944</v>
      </c>
      <c r="K563" s="17"/>
      <c r="L563" s="54"/>
      <c r="M563" s="39"/>
      <c r="N563" s="39"/>
      <c r="O563" s="39"/>
      <c r="P563" s="39"/>
      <c r="Q563" s="39"/>
      <c r="R563" s="39"/>
      <c r="S563" s="39"/>
      <c r="T563" s="39"/>
      <c r="U563" s="39"/>
      <c r="V563" s="39"/>
      <c r="W563" s="92" t="s">
        <v>3732</v>
      </c>
    </row>
    <row r="564" spans="1:24" s="79" customFormat="1" ht="114.75" x14ac:dyDescent="0.2">
      <c r="A564" s="1" t="s">
        <v>103</v>
      </c>
      <c r="B564" s="2" t="s">
        <v>24</v>
      </c>
      <c r="C564" s="2" t="s">
        <v>96</v>
      </c>
      <c r="D564" s="2" t="s">
        <v>97</v>
      </c>
      <c r="E564" s="2">
        <v>2023</v>
      </c>
      <c r="F564" s="2" t="s">
        <v>388</v>
      </c>
      <c r="G564" s="2" t="s">
        <v>3093</v>
      </c>
      <c r="H564" s="2" t="s">
        <v>3092</v>
      </c>
      <c r="I564" s="1" t="s">
        <v>14</v>
      </c>
      <c r="J564" s="1" t="s">
        <v>4953</v>
      </c>
      <c r="K564" s="17"/>
      <c r="L564" s="80"/>
      <c r="M564" s="15"/>
      <c r="N564" s="15"/>
      <c r="O564" s="15"/>
      <c r="P564" s="15"/>
      <c r="Q564" s="15"/>
      <c r="R564" s="15"/>
      <c r="S564" s="15"/>
      <c r="T564" s="15"/>
      <c r="U564" s="15"/>
      <c r="V564" s="15"/>
      <c r="W564" s="92" t="s">
        <v>3732</v>
      </c>
    </row>
    <row r="565" spans="1:24" s="79" customFormat="1" ht="102" x14ac:dyDescent="0.2">
      <c r="A565" s="1" t="s">
        <v>4954</v>
      </c>
      <c r="B565" s="2" t="s">
        <v>198</v>
      </c>
      <c r="C565" s="2" t="s">
        <v>4955</v>
      </c>
      <c r="D565" s="2" t="s">
        <v>230</v>
      </c>
      <c r="E565" s="2">
        <v>2023</v>
      </c>
      <c r="F565" s="2" t="s">
        <v>388</v>
      </c>
      <c r="G565" s="2" t="s">
        <v>3092</v>
      </c>
      <c r="H565" s="2" t="s">
        <v>3093</v>
      </c>
      <c r="I565" s="1" t="s">
        <v>4956</v>
      </c>
      <c r="J565" s="1" t="s">
        <v>14</v>
      </c>
      <c r="K565" s="17"/>
      <c r="L565" s="53"/>
      <c r="M565" s="39"/>
      <c r="N565" s="39"/>
      <c r="O565" s="39"/>
      <c r="P565" s="39"/>
      <c r="Q565" s="39"/>
      <c r="R565" s="39"/>
      <c r="S565" s="39"/>
      <c r="T565" s="39"/>
      <c r="U565" s="39"/>
      <c r="V565" s="39"/>
      <c r="W565" s="92" t="s">
        <v>1693</v>
      </c>
      <c r="X565"/>
    </row>
    <row r="566" spans="1:24" s="79" customFormat="1" ht="25.5" x14ac:dyDescent="0.2">
      <c r="A566" s="1" t="s">
        <v>59</v>
      </c>
      <c r="B566" s="2" t="s">
        <v>16</v>
      </c>
      <c r="C566" s="2" t="s">
        <v>60</v>
      </c>
      <c r="D566" s="2" t="s">
        <v>61</v>
      </c>
      <c r="E566" s="2">
        <v>2023</v>
      </c>
      <c r="F566" s="2" t="s">
        <v>13</v>
      </c>
      <c r="G566" s="2" t="s">
        <v>3095</v>
      </c>
      <c r="H566" s="2" t="s">
        <v>3092</v>
      </c>
      <c r="I566" s="1" t="s">
        <v>14</v>
      </c>
      <c r="J566" s="1" t="s">
        <v>4957</v>
      </c>
      <c r="K566" s="17"/>
      <c r="L566" s="54">
        <v>0.37790000000000001</v>
      </c>
      <c r="M566" s="39"/>
      <c r="N566" s="39"/>
      <c r="O566" s="39">
        <v>370.2</v>
      </c>
      <c r="P566" s="39"/>
      <c r="Q566" s="39"/>
      <c r="R566" s="39"/>
      <c r="S566" s="39"/>
      <c r="T566" s="39"/>
      <c r="U566" s="39"/>
      <c r="V566" s="39"/>
      <c r="W566" s="92" t="s">
        <v>1710</v>
      </c>
    </row>
    <row r="567" spans="1:24" s="79" customFormat="1" ht="25.5" x14ac:dyDescent="0.2">
      <c r="A567" s="1" t="s">
        <v>59</v>
      </c>
      <c r="B567" s="2" t="s">
        <v>16</v>
      </c>
      <c r="C567" s="2" t="s">
        <v>60</v>
      </c>
      <c r="D567" s="2" t="s">
        <v>61</v>
      </c>
      <c r="E567" s="2">
        <v>2023</v>
      </c>
      <c r="F567" s="2" t="s">
        <v>188</v>
      </c>
      <c r="G567" s="2" t="s">
        <v>3095</v>
      </c>
      <c r="H567" s="2" t="s">
        <v>3092</v>
      </c>
      <c r="I567" s="1" t="s">
        <v>14</v>
      </c>
      <c r="J567" s="1" t="s">
        <v>4958</v>
      </c>
      <c r="K567" s="17"/>
      <c r="L567" s="54">
        <v>0.33040000000000003</v>
      </c>
      <c r="M567" s="39"/>
      <c r="N567" s="39"/>
      <c r="O567" s="39">
        <v>306.10000000000002</v>
      </c>
      <c r="P567" s="39"/>
      <c r="Q567" s="39"/>
      <c r="R567" s="39"/>
      <c r="S567" s="39"/>
      <c r="T567" s="39"/>
      <c r="U567" s="39"/>
      <c r="V567" s="39"/>
      <c r="W567" s="92" t="s">
        <v>1710</v>
      </c>
    </row>
    <row r="568" spans="1:24" s="79" customFormat="1" ht="25.5" x14ac:dyDescent="0.2">
      <c r="A568" s="1" t="s">
        <v>59</v>
      </c>
      <c r="B568" s="2" t="s">
        <v>16</v>
      </c>
      <c r="C568" s="2" t="s">
        <v>60</v>
      </c>
      <c r="D568" s="2" t="s">
        <v>61</v>
      </c>
      <c r="E568" s="2">
        <v>2023</v>
      </c>
      <c r="F568" s="2" t="s">
        <v>203</v>
      </c>
      <c r="G568" s="2" t="s">
        <v>3095</v>
      </c>
      <c r="H568" s="2" t="s">
        <v>3092</v>
      </c>
      <c r="I568" s="1" t="s">
        <v>14</v>
      </c>
      <c r="J568" s="1" t="s">
        <v>4959</v>
      </c>
      <c r="K568" s="17"/>
      <c r="L568" s="54">
        <v>0.314</v>
      </c>
      <c r="M568" s="39"/>
      <c r="N568" s="39"/>
      <c r="O568" s="39">
        <v>396.2</v>
      </c>
      <c r="P568" s="39"/>
      <c r="Q568" s="39"/>
      <c r="R568" s="39"/>
      <c r="S568" s="39"/>
      <c r="T568" s="39"/>
      <c r="U568" s="39"/>
      <c r="V568" s="39"/>
      <c r="W568" s="92" t="s">
        <v>1710</v>
      </c>
    </row>
    <row r="569" spans="1:24" s="79" customFormat="1" ht="25.5" x14ac:dyDescent="0.2">
      <c r="A569" s="1" t="s">
        <v>59</v>
      </c>
      <c r="B569" s="2" t="s">
        <v>16</v>
      </c>
      <c r="C569" s="2" t="s">
        <v>60</v>
      </c>
      <c r="D569" s="2" t="s">
        <v>61</v>
      </c>
      <c r="E569" s="2">
        <v>2023</v>
      </c>
      <c r="F569" s="2" t="s">
        <v>211</v>
      </c>
      <c r="G569" s="2" t="s">
        <v>3095</v>
      </c>
      <c r="H569" s="2" t="s">
        <v>3092</v>
      </c>
      <c r="I569" s="1" t="s">
        <v>14</v>
      </c>
      <c r="J569" s="1" t="s">
        <v>4960</v>
      </c>
      <c r="K569" s="17"/>
      <c r="L569" s="54">
        <v>0.39900000000000002</v>
      </c>
      <c r="M569" s="39"/>
      <c r="N569" s="39"/>
      <c r="O569" s="39">
        <v>392.7</v>
      </c>
      <c r="P569" s="39"/>
      <c r="Q569" s="39"/>
      <c r="R569" s="39"/>
      <c r="S569" s="39"/>
      <c r="T569" s="39"/>
      <c r="U569" s="39"/>
      <c r="V569" s="39"/>
      <c r="W569" s="92" t="s">
        <v>1710</v>
      </c>
    </row>
    <row r="570" spans="1:24" s="79" customFormat="1" ht="25.5" x14ac:dyDescent="0.2">
      <c r="A570" s="1" t="s">
        <v>59</v>
      </c>
      <c r="B570" s="2" t="s">
        <v>16</v>
      </c>
      <c r="C570" s="2" t="s">
        <v>60</v>
      </c>
      <c r="D570" s="2" t="s">
        <v>61</v>
      </c>
      <c r="E570" s="2">
        <v>2023</v>
      </c>
      <c r="F570" s="2" t="s">
        <v>221</v>
      </c>
      <c r="G570" s="2" t="s">
        <v>3095</v>
      </c>
      <c r="H570" s="2" t="s">
        <v>3092</v>
      </c>
      <c r="I570" s="1" t="s">
        <v>14</v>
      </c>
      <c r="J570" s="1" t="s">
        <v>4961</v>
      </c>
      <c r="K570" s="17"/>
      <c r="L570" s="54">
        <v>0.372</v>
      </c>
      <c r="M570" s="39"/>
      <c r="N570" s="39"/>
      <c r="O570" s="39">
        <v>378</v>
      </c>
      <c r="P570" s="39"/>
      <c r="Q570" s="39"/>
      <c r="R570" s="39"/>
      <c r="S570" s="39"/>
      <c r="T570" s="39"/>
      <c r="U570" s="39"/>
      <c r="V570" s="39"/>
      <c r="W570" s="92" t="s">
        <v>1710</v>
      </c>
    </row>
    <row r="571" spans="1:24" s="79" customFormat="1" ht="25.5" x14ac:dyDescent="0.2">
      <c r="A571" s="1" t="s">
        <v>59</v>
      </c>
      <c r="B571" s="2" t="s">
        <v>16</v>
      </c>
      <c r="C571" s="2" t="s">
        <v>60</v>
      </c>
      <c r="D571" s="2" t="s">
        <v>61</v>
      </c>
      <c r="E571" s="2">
        <v>2023</v>
      </c>
      <c r="F571" s="2" t="s">
        <v>256</v>
      </c>
      <c r="G571" s="2" t="s">
        <v>3095</v>
      </c>
      <c r="H571" s="2" t="s">
        <v>3092</v>
      </c>
      <c r="I571" s="1" t="s">
        <v>14</v>
      </c>
      <c r="J571" s="1" t="s">
        <v>4962</v>
      </c>
      <c r="K571" s="17"/>
      <c r="L571" s="54">
        <v>0.33460000000000001</v>
      </c>
      <c r="M571" s="39"/>
      <c r="N571" s="39"/>
      <c r="O571" s="39">
        <v>281.10000000000002</v>
      </c>
      <c r="P571" s="39"/>
      <c r="Q571" s="39"/>
      <c r="R571" s="39"/>
      <c r="S571" s="39"/>
      <c r="T571" s="39"/>
      <c r="U571" s="39"/>
      <c r="V571" s="39"/>
      <c r="W571" s="92" t="s">
        <v>1710</v>
      </c>
    </row>
    <row r="572" spans="1:24" s="79" customFormat="1" ht="25.5" x14ac:dyDescent="0.2">
      <c r="A572" s="1" t="s">
        <v>59</v>
      </c>
      <c r="B572" s="2" t="s">
        <v>16</v>
      </c>
      <c r="C572" s="2" t="s">
        <v>60</v>
      </c>
      <c r="D572" s="2" t="s">
        <v>61</v>
      </c>
      <c r="E572" s="2">
        <v>2023</v>
      </c>
      <c r="F572" s="2" t="s">
        <v>276</v>
      </c>
      <c r="G572" s="2" t="s">
        <v>3095</v>
      </c>
      <c r="H572" s="2" t="s">
        <v>3092</v>
      </c>
      <c r="I572" s="1" t="s">
        <v>14</v>
      </c>
      <c r="J572" s="1" t="s">
        <v>4963</v>
      </c>
      <c r="K572" s="17"/>
      <c r="L572" s="54">
        <v>0.376</v>
      </c>
      <c r="M572" s="39"/>
      <c r="N572" s="39"/>
      <c r="O572" s="39">
        <v>485.4</v>
      </c>
      <c r="P572" s="39"/>
      <c r="Q572" s="39"/>
      <c r="R572" s="39"/>
      <c r="S572" s="39"/>
      <c r="T572" s="39"/>
      <c r="U572" s="39"/>
      <c r="V572" s="39"/>
      <c r="W572" s="92" t="s">
        <v>1710</v>
      </c>
    </row>
    <row r="573" spans="1:24" s="79" customFormat="1" ht="25.5" x14ac:dyDescent="0.2">
      <c r="A573" s="1" t="s">
        <v>59</v>
      </c>
      <c r="B573" s="2" t="s">
        <v>16</v>
      </c>
      <c r="C573" s="2" t="s">
        <v>60</v>
      </c>
      <c r="D573" s="2" t="s">
        <v>61</v>
      </c>
      <c r="E573" s="2">
        <v>2023</v>
      </c>
      <c r="F573" s="2" t="s">
        <v>291</v>
      </c>
      <c r="G573" s="2" t="s">
        <v>3095</v>
      </c>
      <c r="H573" s="2" t="s">
        <v>3092</v>
      </c>
      <c r="I573" s="1" t="s">
        <v>14</v>
      </c>
      <c r="J573" s="1" t="s">
        <v>4964</v>
      </c>
      <c r="K573" s="17"/>
      <c r="L573" s="54">
        <v>0.38200000000000001</v>
      </c>
      <c r="M573" s="39"/>
      <c r="N573" s="39"/>
      <c r="O573" s="39">
        <v>509.4</v>
      </c>
      <c r="P573" s="39"/>
      <c r="Q573" s="39"/>
      <c r="R573" s="39"/>
      <c r="S573" s="39"/>
      <c r="T573" s="39"/>
      <c r="U573" s="39"/>
      <c r="V573" s="39"/>
      <c r="W573" s="92" t="s">
        <v>1710</v>
      </c>
    </row>
    <row r="574" spans="1:24" s="79" customFormat="1" ht="25.5" x14ac:dyDescent="0.2">
      <c r="A574" s="1" t="s">
        <v>59</v>
      </c>
      <c r="B574" s="2" t="s">
        <v>16</v>
      </c>
      <c r="C574" s="2" t="s">
        <v>60</v>
      </c>
      <c r="D574" s="2" t="s">
        <v>61</v>
      </c>
      <c r="E574" s="2">
        <v>2023</v>
      </c>
      <c r="F574" s="2" t="s">
        <v>311</v>
      </c>
      <c r="G574" s="2" t="s">
        <v>3095</v>
      </c>
      <c r="H574" s="2" t="s">
        <v>3092</v>
      </c>
      <c r="I574" s="1" t="s">
        <v>14</v>
      </c>
      <c r="J574" s="1" t="s">
        <v>4965</v>
      </c>
      <c r="K574" s="17"/>
      <c r="L574" s="54">
        <v>0.35420000000000001</v>
      </c>
      <c r="M574" s="39"/>
      <c r="N574" s="39"/>
      <c r="O574" s="3">
        <v>381.7</v>
      </c>
      <c r="P574" s="39"/>
      <c r="Q574" s="39"/>
      <c r="R574" s="39"/>
      <c r="S574" s="39"/>
      <c r="T574" s="39"/>
      <c r="U574" s="39"/>
      <c r="V574" s="39"/>
      <c r="W574" s="92" t="s">
        <v>1710</v>
      </c>
    </row>
    <row r="575" spans="1:24" s="79" customFormat="1" ht="25.5" x14ac:dyDescent="0.2">
      <c r="A575" s="1" t="s">
        <v>59</v>
      </c>
      <c r="B575" s="2" t="s">
        <v>16</v>
      </c>
      <c r="C575" s="2" t="s">
        <v>60</v>
      </c>
      <c r="D575" s="2" t="s">
        <v>61</v>
      </c>
      <c r="E575" s="2">
        <v>2023</v>
      </c>
      <c r="F575" s="2" t="s">
        <v>337</v>
      </c>
      <c r="G575" s="2" t="s">
        <v>3095</v>
      </c>
      <c r="H575" s="2" t="s">
        <v>3092</v>
      </c>
      <c r="I575" s="1" t="s">
        <v>14</v>
      </c>
      <c r="J575" s="1" t="s">
        <v>4966</v>
      </c>
      <c r="K575" s="17"/>
      <c r="L575" s="54">
        <v>0.309</v>
      </c>
      <c r="M575" s="39"/>
      <c r="N575" s="39"/>
      <c r="O575" s="39">
        <v>381.7</v>
      </c>
      <c r="P575" s="39"/>
      <c r="Q575" s="39"/>
      <c r="R575" s="39"/>
      <c r="S575" s="39"/>
      <c r="T575" s="39"/>
      <c r="U575" s="39"/>
      <c r="V575" s="39"/>
      <c r="W575" s="92" t="s">
        <v>1710</v>
      </c>
    </row>
    <row r="576" spans="1:24" s="79" customFormat="1" ht="25.5" x14ac:dyDescent="0.2">
      <c r="A576" s="1" t="s">
        <v>59</v>
      </c>
      <c r="B576" s="2" t="s">
        <v>16</v>
      </c>
      <c r="C576" s="2" t="s">
        <v>60</v>
      </c>
      <c r="D576" s="2" t="s">
        <v>61</v>
      </c>
      <c r="E576" s="2">
        <v>2023</v>
      </c>
      <c r="F576" s="2" t="s">
        <v>364</v>
      </c>
      <c r="G576" s="2" t="s">
        <v>3095</v>
      </c>
      <c r="H576" s="2" t="s">
        <v>3092</v>
      </c>
      <c r="I576" s="1" t="s">
        <v>14</v>
      </c>
      <c r="J576" s="1" t="s">
        <v>4967</v>
      </c>
      <c r="K576" s="17"/>
      <c r="L576" s="54">
        <v>0.30099999999999999</v>
      </c>
      <c r="M576" s="15"/>
      <c r="N576" s="15"/>
      <c r="O576" s="15">
        <v>508.9</v>
      </c>
      <c r="P576" s="15"/>
      <c r="Q576" s="15"/>
      <c r="R576" s="15"/>
      <c r="S576" s="15"/>
      <c r="T576" s="15"/>
      <c r="U576" s="15"/>
      <c r="V576" s="15"/>
      <c r="W576" s="92" t="s">
        <v>1710</v>
      </c>
    </row>
    <row r="577" spans="1:23" s="79" customFormat="1" ht="25.5" x14ac:dyDescent="0.2">
      <c r="A577" s="1" t="s">
        <v>59</v>
      </c>
      <c r="B577" s="2" t="s">
        <v>16</v>
      </c>
      <c r="C577" s="2" t="s">
        <v>60</v>
      </c>
      <c r="D577" s="2" t="s">
        <v>61</v>
      </c>
      <c r="E577" s="2">
        <v>2023</v>
      </c>
      <c r="F577" s="2" t="s">
        <v>388</v>
      </c>
      <c r="G577" s="2" t="s">
        <v>3095</v>
      </c>
      <c r="H577" s="2" t="s">
        <v>3092</v>
      </c>
      <c r="I577" s="1" t="s">
        <v>14</v>
      </c>
      <c r="J577" s="1" t="s">
        <v>4968</v>
      </c>
      <c r="K577" s="17"/>
      <c r="L577" s="54">
        <v>0.35099999999999998</v>
      </c>
      <c r="M577" s="39"/>
      <c r="N577" s="39"/>
      <c r="O577" s="39">
        <v>465</v>
      </c>
      <c r="P577" s="39"/>
      <c r="Q577" s="39"/>
      <c r="R577" s="39"/>
      <c r="S577" s="39"/>
      <c r="T577" s="39"/>
      <c r="U577" s="39"/>
      <c r="V577" s="39"/>
      <c r="W577" s="92" t="s">
        <v>1710</v>
      </c>
    </row>
    <row r="578" spans="1:23" s="79" customFormat="1" ht="76.5" x14ac:dyDescent="0.2">
      <c r="A578" s="1" t="s">
        <v>304</v>
      </c>
      <c r="B578" s="2" t="s">
        <v>196</v>
      </c>
      <c r="C578" s="2" t="s">
        <v>282</v>
      </c>
      <c r="D578" s="2" t="s">
        <v>283</v>
      </c>
      <c r="E578" s="2">
        <v>2023</v>
      </c>
      <c r="F578" s="2" t="s">
        <v>276</v>
      </c>
      <c r="G578" s="2" t="s">
        <v>3092</v>
      </c>
      <c r="H578" s="2" t="s">
        <v>3093</v>
      </c>
      <c r="I578" s="1" t="s">
        <v>4969</v>
      </c>
      <c r="J578" s="1" t="s">
        <v>14</v>
      </c>
      <c r="K578" s="17"/>
      <c r="L578" s="54"/>
      <c r="M578" s="39"/>
      <c r="N578" s="39"/>
      <c r="O578" s="39"/>
      <c r="P578" s="39"/>
      <c r="Q578" s="39"/>
      <c r="R578" s="39"/>
      <c r="S578" s="39"/>
      <c r="T578" s="39"/>
      <c r="U578" s="39"/>
      <c r="V578" s="39"/>
      <c r="W578" s="92" t="s">
        <v>1693</v>
      </c>
    </row>
    <row r="579" spans="1:23" s="79" customFormat="1" ht="25.5" x14ac:dyDescent="0.2">
      <c r="A579" s="1" t="s">
        <v>303</v>
      </c>
      <c r="B579" s="2" t="s">
        <v>196</v>
      </c>
      <c r="C579" s="2" t="s">
        <v>282</v>
      </c>
      <c r="D579" s="2" t="s">
        <v>283</v>
      </c>
      <c r="E579" s="2">
        <v>2023</v>
      </c>
      <c r="F579" s="2" t="s">
        <v>256</v>
      </c>
      <c r="G579" s="2" t="s">
        <v>3092</v>
      </c>
      <c r="H579" s="2" t="s">
        <v>3093</v>
      </c>
      <c r="I579" s="1" t="s">
        <v>4970</v>
      </c>
      <c r="J579" s="1" t="s">
        <v>14</v>
      </c>
      <c r="K579" s="17"/>
      <c r="L579" s="54"/>
      <c r="M579" s="39"/>
      <c r="N579" s="39"/>
      <c r="O579" s="39"/>
      <c r="P579" s="39"/>
      <c r="Q579" s="39"/>
      <c r="R579" s="39"/>
      <c r="S579" s="39"/>
      <c r="T579" s="39"/>
      <c r="U579" s="39"/>
      <c r="V579" s="39"/>
      <c r="W579" s="92"/>
    </row>
    <row r="580" spans="1:23" s="79" customFormat="1" ht="63.75" x14ac:dyDescent="0.2">
      <c r="A580" s="1" t="s">
        <v>303</v>
      </c>
      <c r="B580" s="2" t="s">
        <v>196</v>
      </c>
      <c r="C580" s="2" t="s">
        <v>282</v>
      </c>
      <c r="D580" s="2" t="s">
        <v>283</v>
      </c>
      <c r="E580" s="2">
        <v>2023</v>
      </c>
      <c r="F580" s="2" t="s">
        <v>276</v>
      </c>
      <c r="G580" s="2" t="s">
        <v>3092</v>
      </c>
      <c r="H580" s="2" t="s">
        <v>3093</v>
      </c>
      <c r="I580" s="1" t="s">
        <v>4971</v>
      </c>
      <c r="J580" s="1" t="s">
        <v>14</v>
      </c>
      <c r="K580" s="17"/>
      <c r="L580" s="54"/>
      <c r="M580" s="39"/>
      <c r="N580" s="39"/>
      <c r="O580" s="39"/>
      <c r="P580" s="39"/>
      <c r="Q580" s="39"/>
      <c r="R580" s="39"/>
      <c r="S580" s="39"/>
      <c r="T580" s="39"/>
      <c r="U580" s="39"/>
      <c r="V580" s="39"/>
      <c r="W580" s="92" t="s">
        <v>1693</v>
      </c>
    </row>
    <row r="581" spans="1:23" s="79" customFormat="1" ht="76.5" x14ac:dyDescent="0.2">
      <c r="A581" s="1" t="s">
        <v>237</v>
      </c>
      <c r="B581" s="2" t="s">
        <v>232</v>
      </c>
      <c r="C581" s="2" t="s">
        <v>238</v>
      </c>
      <c r="D581" s="2" t="s">
        <v>58</v>
      </c>
      <c r="E581" s="2">
        <v>2023</v>
      </c>
      <c r="F581" s="2" t="s">
        <v>203</v>
      </c>
      <c r="G581" s="2" t="s">
        <v>3092</v>
      </c>
      <c r="H581" s="2" t="s">
        <v>3092</v>
      </c>
      <c r="I581" s="1" t="s">
        <v>4972</v>
      </c>
      <c r="J581" s="1" t="s">
        <v>4972</v>
      </c>
      <c r="K581" s="17"/>
      <c r="L581" s="80"/>
      <c r="M581" s="15"/>
      <c r="N581" s="15"/>
      <c r="O581" s="15"/>
      <c r="P581" s="15"/>
      <c r="Q581" s="15"/>
      <c r="R581" s="15"/>
      <c r="S581" s="15"/>
      <c r="T581" s="15"/>
      <c r="U581" s="15"/>
      <c r="V581" s="15"/>
      <c r="W581" s="92" t="s">
        <v>3759</v>
      </c>
    </row>
    <row r="582" spans="1:23" s="79" customFormat="1" ht="51" x14ac:dyDescent="0.2">
      <c r="A582" s="1" t="s">
        <v>237</v>
      </c>
      <c r="B582" s="2" t="s">
        <v>232</v>
      </c>
      <c r="C582" s="2" t="s">
        <v>238</v>
      </c>
      <c r="D582" s="2" t="s">
        <v>58</v>
      </c>
      <c r="E582" s="2">
        <v>2023</v>
      </c>
      <c r="F582" s="2" t="s">
        <v>291</v>
      </c>
      <c r="G582" s="2" t="s">
        <v>3092</v>
      </c>
      <c r="H582" s="2" t="s">
        <v>3092</v>
      </c>
      <c r="I582" s="1" t="s">
        <v>4973</v>
      </c>
      <c r="J582" s="1" t="s">
        <v>4974</v>
      </c>
      <c r="K582" s="17"/>
      <c r="L582" s="54"/>
      <c r="M582" s="39"/>
      <c r="N582" s="39"/>
      <c r="O582" s="39"/>
      <c r="P582" s="39"/>
      <c r="Q582" s="39"/>
      <c r="R582" s="39"/>
      <c r="S582" s="39"/>
      <c r="T582" s="39"/>
      <c r="U582" s="39"/>
      <c r="V582" s="3"/>
      <c r="W582" s="92" t="s">
        <v>3759</v>
      </c>
    </row>
    <row r="583" spans="1:23" s="79" customFormat="1" ht="25.5" x14ac:dyDescent="0.2">
      <c r="A583" s="1" t="s">
        <v>237</v>
      </c>
      <c r="B583" s="2" t="s">
        <v>232</v>
      </c>
      <c r="C583" s="2" t="s">
        <v>238</v>
      </c>
      <c r="D583" s="2" t="s">
        <v>58</v>
      </c>
      <c r="E583" s="2">
        <v>2023</v>
      </c>
      <c r="F583" s="2" t="s">
        <v>364</v>
      </c>
      <c r="G583" s="2" t="s">
        <v>3092</v>
      </c>
      <c r="H583" s="2" t="s">
        <v>3092</v>
      </c>
      <c r="I583" s="1" t="s">
        <v>4975</v>
      </c>
      <c r="J583" s="1" t="s">
        <v>4976</v>
      </c>
      <c r="K583" s="17"/>
      <c r="L583" s="54"/>
      <c r="M583" s="39"/>
      <c r="N583" s="39"/>
      <c r="O583" s="39"/>
      <c r="P583" s="39"/>
      <c r="Q583" s="39"/>
      <c r="R583" s="39"/>
      <c r="S583" s="39"/>
      <c r="T583" s="39"/>
      <c r="U583" s="39"/>
      <c r="V583" s="39"/>
      <c r="W583" s="92" t="s">
        <v>3759</v>
      </c>
    </row>
    <row r="584" spans="1:23" s="79" customFormat="1" ht="25.5" x14ac:dyDescent="0.2">
      <c r="A584" s="1" t="s">
        <v>4977</v>
      </c>
      <c r="B584" s="2" t="s">
        <v>69</v>
      </c>
      <c r="C584" s="2" t="s">
        <v>238</v>
      </c>
      <c r="D584" s="2" t="s">
        <v>58</v>
      </c>
      <c r="E584" s="2">
        <v>2023</v>
      </c>
      <c r="F584" s="2" t="s">
        <v>221</v>
      </c>
      <c r="G584" s="2" t="s">
        <v>3093</v>
      </c>
      <c r="H584" s="2" t="s">
        <v>3092</v>
      </c>
      <c r="I584" s="1" t="s">
        <v>14</v>
      </c>
      <c r="J584" s="1" t="s">
        <v>4978</v>
      </c>
      <c r="K584" s="17"/>
      <c r="L584" s="54"/>
      <c r="M584" s="39"/>
      <c r="N584" s="39"/>
      <c r="O584" s="39"/>
      <c r="P584" s="39"/>
      <c r="Q584" s="39"/>
      <c r="R584" s="39"/>
      <c r="S584" s="39"/>
      <c r="T584" s="39"/>
      <c r="U584" s="39"/>
      <c r="V584" s="39"/>
      <c r="W584" s="92"/>
    </row>
    <row r="585" spans="1:23" s="79" customFormat="1" ht="76.5" x14ac:dyDescent="0.2">
      <c r="A585" s="1" t="s">
        <v>4977</v>
      </c>
      <c r="B585" s="2" t="s">
        <v>69</v>
      </c>
      <c r="C585" s="2" t="s">
        <v>238</v>
      </c>
      <c r="D585" s="2" t="s">
        <v>58</v>
      </c>
      <c r="E585" s="2">
        <v>2023</v>
      </c>
      <c r="F585" s="2" t="s">
        <v>276</v>
      </c>
      <c r="G585" s="2" t="s">
        <v>3092</v>
      </c>
      <c r="H585" s="2" t="s">
        <v>3092</v>
      </c>
      <c r="I585" s="1" t="s">
        <v>4979</v>
      </c>
      <c r="J585" s="1" t="s">
        <v>4980</v>
      </c>
      <c r="K585" s="17"/>
      <c r="L585" s="54"/>
      <c r="M585" s="39"/>
      <c r="N585" s="39"/>
      <c r="O585" s="39"/>
      <c r="P585" s="39"/>
      <c r="Q585" s="39"/>
      <c r="R585" s="39"/>
      <c r="S585" s="39"/>
      <c r="T585" s="39"/>
      <c r="U585" s="39"/>
      <c r="V585" s="39"/>
      <c r="W585" s="92" t="s">
        <v>3317</v>
      </c>
    </row>
    <row r="586" spans="1:23" s="79" customFormat="1" ht="89.25" x14ac:dyDescent="0.2">
      <c r="A586" s="1" t="s">
        <v>451</v>
      </c>
      <c r="B586" s="2" t="s">
        <v>32</v>
      </c>
      <c r="C586" s="2" t="s">
        <v>424</v>
      </c>
      <c r="D586" s="2" t="s">
        <v>425</v>
      </c>
      <c r="E586" s="2">
        <v>2023</v>
      </c>
      <c r="F586" s="2" t="s">
        <v>203</v>
      </c>
      <c r="G586" s="2" t="s">
        <v>3092</v>
      </c>
      <c r="H586" s="2" t="s">
        <v>3093</v>
      </c>
      <c r="I586" s="1" t="s">
        <v>4981</v>
      </c>
      <c r="J586" s="1" t="s">
        <v>14</v>
      </c>
      <c r="K586" s="17"/>
      <c r="L586" s="54"/>
      <c r="M586" s="39"/>
      <c r="N586" s="39"/>
      <c r="O586" s="39"/>
      <c r="P586" s="39"/>
      <c r="Q586" s="39"/>
      <c r="R586" s="39"/>
      <c r="S586" s="39"/>
      <c r="T586" s="39"/>
      <c r="U586" s="39"/>
      <c r="V586" s="39"/>
      <c r="W586" s="92" t="s">
        <v>4982</v>
      </c>
    </row>
    <row r="587" spans="1:23" s="79" customFormat="1" ht="76.5" x14ac:dyDescent="0.2">
      <c r="A587" s="1" t="s">
        <v>451</v>
      </c>
      <c r="B587" s="2" t="s">
        <v>32</v>
      </c>
      <c r="C587" s="2" t="s">
        <v>424</v>
      </c>
      <c r="D587" s="2" t="s">
        <v>425</v>
      </c>
      <c r="E587" s="2">
        <v>2023</v>
      </c>
      <c r="F587" s="2" t="s">
        <v>291</v>
      </c>
      <c r="G587" s="2" t="s">
        <v>3092</v>
      </c>
      <c r="H587" s="2" t="s">
        <v>3093</v>
      </c>
      <c r="I587" s="1" t="s">
        <v>4983</v>
      </c>
      <c r="J587" s="1" t="s">
        <v>14</v>
      </c>
      <c r="K587" s="17"/>
      <c r="L587" s="54"/>
      <c r="M587" s="39"/>
      <c r="N587" s="39"/>
      <c r="O587" s="39"/>
      <c r="P587" s="39"/>
      <c r="Q587" s="39"/>
      <c r="R587" s="39"/>
      <c r="S587" s="39"/>
      <c r="T587" s="39"/>
      <c r="U587" s="39"/>
      <c r="V587" s="39"/>
      <c r="W587" s="92" t="s">
        <v>4982</v>
      </c>
    </row>
    <row r="588" spans="1:23" s="79" customFormat="1" ht="76.5" x14ac:dyDescent="0.2">
      <c r="A588" s="1" t="s">
        <v>451</v>
      </c>
      <c r="B588" s="2" t="s">
        <v>32</v>
      </c>
      <c r="C588" s="2" t="s">
        <v>424</v>
      </c>
      <c r="D588" s="2" t="s">
        <v>425</v>
      </c>
      <c r="E588" s="2">
        <v>2023</v>
      </c>
      <c r="F588" s="2" t="s">
        <v>311</v>
      </c>
      <c r="G588" s="2" t="s">
        <v>3092</v>
      </c>
      <c r="H588" s="2" t="s">
        <v>3093</v>
      </c>
      <c r="I588" s="1" t="s">
        <v>4984</v>
      </c>
      <c r="J588" s="1" t="s">
        <v>14</v>
      </c>
      <c r="K588" s="17"/>
      <c r="L588" s="54"/>
      <c r="M588" s="39"/>
      <c r="N588" s="39"/>
      <c r="O588" s="39"/>
      <c r="P588" s="39"/>
      <c r="Q588" s="39"/>
      <c r="R588" s="39"/>
      <c r="S588" s="39"/>
      <c r="T588" s="39"/>
      <c r="U588" s="39"/>
      <c r="V588" s="39"/>
      <c r="W588" s="92" t="s">
        <v>4982</v>
      </c>
    </row>
    <row r="589" spans="1:23" s="79" customFormat="1" ht="140.25" x14ac:dyDescent="0.2">
      <c r="A589" s="1" t="s">
        <v>4985</v>
      </c>
      <c r="B589" s="2" t="s">
        <v>196</v>
      </c>
      <c r="C589" s="2" t="s">
        <v>424</v>
      </c>
      <c r="D589" s="2" t="s">
        <v>425</v>
      </c>
      <c r="E589" s="2">
        <v>2023</v>
      </c>
      <c r="F589" s="2" t="s">
        <v>276</v>
      </c>
      <c r="G589" s="2" t="s">
        <v>3092</v>
      </c>
      <c r="H589" s="2" t="s">
        <v>3093</v>
      </c>
      <c r="I589" s="1" t="s">
        <v>4986</v>
      </c>
      <c r="J589" s="1" t="s">
        <v>14</v>
      </c>
      <c r="K589" s="17"/>
      <c r="L589" s="54"/>
      <c r="M589" s="39"/>
      <c r="N589" s="39"/>
      <c r="O589" s="39"/>
      <c r="P589" s="39"/>
      <c r="Q589" s="39"/>
      <c r="R589" s="39"/>
      <c r="S589" s="39"/>
      <c r="T589" s="39"/>
      <c r="U589" s="39"/>
      <c r="V589" s="39"/>
      <c r="W589" s="92" t="s">
        <v>1693</v>
      </c>
    </row>
    <row r="590" spans="1:23" s="79" customFormat="1" ht="165.75" x14ac:dyDescent="0.2">
      <c r="A590" s="1" t="s">
        <v>4985</v>
      </c>
      <c r="B590" s="2" t="s">
        <v>196</v>
      </c>
      <c r="C590" s="2" t="s">
        <v>424</v>
      </c>
      <c r="D590" s="2" t="s">
        <v>425</v>
      </c>
      <c r="E590" s="2">
        <v>2023</v>
      </c>
      <c r="F590" s="2" t="s">
        <v>291</v>
      </c>
      <c r="G590" s="2" t="s">
        <v>3092</v>
      </c>
      <c r="H590" s="2" t="s">
        <v>3093</v>
      </c>
      <c r="I590" s="1" t="s">
        <v>4987</v>
      </c>
      <c r="J590" s="1" t="s">
        <v>14</v>
      </c>
      <c r="K590" s="17"/>
      <c r="L590" s="54"/>
      <c r="M590" s="39"/>
      <c r="N590" s="39"/>
      <c r="O590" s="39"/>
      <c r="P590" s="39"/>
      <c r="Q590" s="39"/>
      <c r="R590" s="39"/>
      <c r="S590" s="39"/>
      <c r="T590" s="39"/>
      <c r="U590" s="39"/>
      <c r="V590" s="39"/>
      <c r="W590" s="92" t="s">
        <v>1693</v>
      </c>
    </row>
    <row r="591" spans="1:23" s="79" customFormat="1" ht="140.25" x14ac:dyDescent="0.2">
      <c r="A591" s="1" t="s">
        <v>4988</v>
      </c>
      <c r="B591" s="2" t="s">
        <v>196</v>
      </c>
      <c r="C591" s="2" t="s">
        <v>424</v>
      </c>
      <c r="D591" s="2" t="s">
        <v>425</v>
      </c>
      <c r="E591" s="2">
        <v>2023</v>
      </c>
      <c r="F591" s="2" t="s">
        <v>276</v>
      </c>
      <c r="G591" s="2" t="s">
        <v>3092</v>
      </c>
      <c r="H591" s="2" t="s">
        <v>3093</v>
      </c>
      <c r="I591" s="1" t="s">
        <v>4989</v>
      </c>
      <c r="J591" s="1" t="s">
        <v>14</v>
      </c>
      <c r="K591" s="17"/>
      <c r="L591" s="54"/>
      <c r="M591" s="39"/>
      <c r="N591" s="39"/>
      <c r="O591" s="39"/>
      <c r="P591" s="39"/>
      <c r="Q591" s="39"/>
      <c r="R591" s="39"/>
      <c r="S591" s="39"/>
      <c r="T591" s="39"/>
      <c r="U591" s="39"/>
      <c r="V591" s="39"/>
      <c r="W591" s="92" t="s">
        <v>1693</v>
      </c>
    </row>
    <row r="592" spans="1:23" s="79" customFormat="1" ht="38.25" x14ac:dyDescent="0.2">
      <c r="A592" s="1" t="s">
        <v>47</v>
      </c>
      <c r="B592" s="2" t="s">
        <v>48</v>
      </c>
      <c r="C592" s="2" t="s">
        <v>49</v>
      </c>
      <c r="D592" s="2" t="s">
        <v>50</v>
      </c>
      <c r="E592" s="2">
        <v>2023</v>
      </c>
      <c r="F592" s="2" t="s">
        <v>13</v>
      </c>
      <c r="G592" s="2" t="s">
        <v>3095</v>
      </c>
      <c r="H592" s="2" t="s">
        <v>3092</v>
      </c>
      <c r="I592" s="1" t="s">
        <v>14</v>
      </c>
      <c r="J592" s="1" t="s">
        <v>4990</v>
      </c>
      <c r="K592" s="17"/>
      <c r="L592" s="54">
        <v>0.156</v>
      </c>
      <c r="M592" s="3"/>
      <c r="N592" s="39"/>
      <c r="O592" s="39"/>
      <c r="P592" s="39"/>
      <c r="Q592" s="39"/>
      <c r="R592" s="39">
        <v>1074</v>
      </c>
      <c r="S592" s="39"/>
      <c r="T592" s="39"/>
      <c r="U592" s="39"/>
      <c r="V592" s="39"/>
      <c r="W592" s="92" t="s">
        <v>3087</v>
      </c>
    </row>
    <row r="593" spans="1:24" s="79" customFormat="1" ht="38.25" x14ac:dyDescent="0.2">
      <c r="A593" s="1" t="s">
        <v>47</v>
      </c>
      <c r="B593" s="2" t="s">
        <v>48</v>
      </c>
      <c r="C593" s="2" t="s">
        <v>49</v>
      </c>
      <c r="D593" s="2" t="s">
        <v>50</v>
      </c>
      <c r="E593" s="2">
        <v>2023</v>
      </c>
      <c r="F593" s="2" t="s">
        <v>188</v>
      </c>
      <c r="G593" s="2" t="s">
        <v>3095</v>
      </c>
      <c r="H593" s="2" t="s">
        <v>3092</v>
      </c>
      <c r="I593" s="1" t="s">
        <v>14</v>
      </c>
      <c r="J593" s="1" t="s">
        <v>4991</v>
      </c>
      <c r="K593" s="17"/>
      <c r="L593" s="80">
        <v>0.158</v>
      </c>
      <c r="M593" s="3"/>
      <c r="N593" s="15"/>
      <c r="O593" s="15"/>
      <c r="P593" s="15"/>
      <c r="Q593" s="15"/>
      <c r="R593" s="15">
        <v>915</v>
      </c>
      <c r="S593" s="15"/>
      <c r="T593" s="15"/>
      <c r="U593" s="15"/>
      <c r="V593" s="15"/>
      <c r="W593" s="92" t="s">
        <v>3087</v>
      </c>
    </row>
    <row r="594" spans="1:24" s="79" customFormat="1" ht="63.75" x14ac:dyDescent="0.2">
      <c r="A594" s="1" t="s">
        <v>47</v>
      </c>
      <c r="B594" s="2" t="s">
        <v>48</v>
      </c>
      <c r="C594" s="2" t="s">
        <v>49</v>
      </c>
      <c r="D594" s="2" t="s">
        <v>50</v>
      </c>
      <c r="E594" s="2">
        <v>2023</v>
      </c>
      <c r="F594" s="2" t="s">
        <v>203</v>
      </c>
      <c r="G594" s="2" t="s">
        <v>3095</v>
      </c>
      <c r="H594" s="2" t="s">
        <v>3092</v>
      </c>
      <c r="I594" s="1" t="s">
        <v>14</v>
      </c>
      <c r="J594" s="1" t="s">
        <v>4992</v>
      </c>
      <c r="K594" s="17"/>
      <c r="L594" s="54">
        <v>0.16</v>
      </c>
      <c r="M594" s="39"/>
      <c r="N594" s="39"/>
      <c r="O594" s="39">
        <f>1166.42/2</f>
        <v>583.21</v>
      </c>
      <c r="P594" s="39"/>
      <c r="Q594" s="39"/>
      <c r="R594" s="39">
        <f>1166.42/2</f>
        <v>583.21</v>
      </c>
      <c r="S594" s="39"/>
      <c r="T594" s="39"/>
      <c r="U594" s="39"/>
      <c r="V594" s="39"/>
      <c r="W594" s="92" t="s">
        <v>3088</v>
      </c>
    </row>
    <row r="595" spans="1:24" s="79" customFormat="1" ht="63.75" x14ac:dyDescent="0.2">
      <c r="A595" s="1" t="s">
        <v>47</v>
      </c>
      <c r="B595" s="2" t="s">
        <v>48</v>
      </c>
      <c r="C595" s="2" t="s">
        <v>49</v>
      </c>
      <c r="D595" s="2" t="s">
        <v>50</v>
      </c>
      <c r="E595" s="2">
        <v>2023</v>
      </c>
      <c r="F595" s="2" t="s">
        <v>211</v>
      </c>
      <c r="G595" s="2" t="s">
        <v>3095</v>
      </c>
      <c r="H595" s="2" t="s">
        <v>3092</v>
      </c>
      <c r="I595" s="1" t="s">
        <v>14</v>
      </c>
      <c r="J595" s="1" t="s">
        <v>4993</v>
      </c>
      <c r="K595" s="17"/>
      <c r="L595" s="54">
        <v>0.16500000000000001</v>
      </c>
      <c r="M595" s="39"/>
      <c r="N595" s="39"/>
      <c r="O595" s="39">
        <f>915.96/2</f>
        <v>457.98</v>
      </c>
      <c r="P595" s="39"/>
      <c r="Q595" s="39"/>
      <c r="R595" s="39">
        <f>915.96/2</f>
        <v>457.98</v>
      </c>
      <c r="S595" s="39"/>
      <c r="T595" s="39"/>
      <c r="U595" s="39"/>
      <c r="V595" s="39"/>
      <c r="W595" s="92" t="s">
        <v>3088</v>
      </c>
    </row>
    <row r="596" spans="1:24" s="79" customFormat="1" ht="63.75" x14ac:dyDescent="0.2">
      <c r="A596" s="1" t="s">
        <v>47</v>
      </c>
      <c r="B596" s="2" t="s">
        <v>48</v>
      </c>
      <c r="C596" s="2" t="s">
        <v>49</v>
      </c>
      <c r="D596" s="2" t="s">
        <v>50</v>
      </c>
      <c r="E596" s="2">
        <v>2023</v>
      </c>
      <c r="F596" s="2" t="s">
        <v>221</v>
      </c>
      <c r="G596" s="2" t="s">
        <v>3095</v>
      </c>
      <c r="H596" s="2" t="s">
        <v>3092</v>
      </c>
      <c r="I596" s="1" t="s">
        <v>14</v>
      </c>
      <c r="J596" s="1" t="s">
        <v>4994</v>
      </c>
      <c r="K596" s="17"/>
      <c r="L596" s="54">
        <v>0.14899999999999999</v>
      </c>
      <c r="M596" s="39"/>
      <c r="N596" s="39"/>
      <c r="O596" s="39">
        <f>2057/2</f>
        <v>1028.5</v>
      </c>
      <c r="P596" s="39"/>
      <c r="Q596" s="39"/>
      <c r="R596" s="39">
        <f>2057/2</f>
        <v>1028.5</v>
      </c>
      <c r="S596" s="39"/>
      <c r="T596" s="39"/>
      <c r="U596" s="39"/>
      <c r="V596" s="39"/>
      <c r="W596" s="92" t="s">
        <v>3088</v>
      </c>
    </row>
    <row r="597" spans="1:24" s="79" customFormat="1" ht="63.75" x14ac:dyDescent="0.2">
      <c r="A597" s="1" t="s">
        <v>47</v>
      </c>
      <c r="B597" s="2" t="s">
        <v>48</v>
      </c>
      <c r="C597" s="2" t="s">
        <v>49</v>
      </c>
      <c r="D597" s="2" t="s">
        <v>50</v>
      </c>
      <c r="E597" s="2">
        <v>2023</v>
      </c>
      <c r="F597" s="2" t="s">
        <v>256</v>
      </c>
      <c r="G597" s="2" t="s">
        <v>3095</v>
      </c>
      <c r="H597" s="2" t="s">
        <v>3092</v>
      </c>
      <c r="I597" s="1" t="s">
        <v>14</v>
      </c>
      <c r="J597" s="1" t="s">
        <v>4995</v>
      </c>
      <c r="K597" s="17"/>
      <c r="L597" s="54">
        <v>0.14799999999999999</v>
      </c>
      <c r="M597" s="39"/>
      <c r="N597" s="39"/>
      <c r="O597" s="39">
        <f>1089.11/2</f>
        <v>544.55499999999995</v>
      </c>
      <c r="P597" s="39"/>
      <c r="Q597" s="39"/>
      <c r="R597" s="39">
        <f>1089.11/2</f>
        <v>544.55499999999995</v>
      </c>
      <c r="S597" s="39"/>
      <c r="T597" s="39"/>
      <c r="U597" s="39"/>
      <c r="V597" s="39"/>
      <c r="W597" s="92" t="s">
        <v>3088</v>
      </c>
    </row>
    <row r="598" spans="1:24" s="79" customFormat="1" ht="63.75" x14ac:dyDescent="0.2">
      <c r="A598" s="1" t="s">
        <v>47</v>
      </c>
      <c r="B598" s="2" t="s">
        <v>48</v>
      </c>
      <c r="C598" s="2" t="s">
        <v>49</v>
      </c>
      <c r="D598" s="2" t="s">
        <v>50</v>
      </c>
      <c r="E598" s="2">
        <v>2023</v>
      </c>
      <c r="F598" s="2" t="s">
        <v>276</v>
      </c>
      <c r="G598" s="2" t="s">
        <v>3095</v>
      </c>
      <c r="H598" s="2" t="s">
        <v>3092</v>
      </c>
      <c r="I598" s="1" t="s">
        <v>14</v>
      </c>
      <c r="J598" s="1" t="s">
        <v>4996</v>
      </c>
      <c r="K598" s="17"/>
      <c r="L598" s="54">
        <v>0.16400000000000001</v>
      </c>
      <c r="M598" s="39"/>
      <c r="N598" s="39"/>
      <c r="O598" s="39">
        <f>945.85/2</f>
        <v>472.92500000000001</v>
      </c>
      <c r="P598" s="39"/>
      <c r="Q598" s="39"/>
      <c r="R598" s="39">
        <f>945.85/2</f>
        <v>472.92500000000001</v>
      </c>
      <c r="S598" s="39"/>
      <c r="T598" s="39"/>
      <c r="U598" s="39"/>
      <c r="V598" s="39"/>
      <c r="W598" s="92" t="s">
        <v>3088</v>
      </c>
    </row>
    <row r="599" spans="1:24" s="79" customFormat="1" ht="63.75" x14ac:dyDescent="0.2">
      <c r="A599" s="1" t="s">
        <v>47</v>
      </c>
      <c r="B599" s="2" t="s">
        <v>48</v>
      </c>
      <c r="C599" s="2" t="s">
        <v>49</v>
      </c>
      <c r="D599" s="2" t="s">
        <v>50</v>
      </c>
      <c r="E599" s="2">
        <v>2023</v>
      </c>
      <c r="F599" s="2" t="s">
        <v>291</v>
      </c>
      <c r="G599" s="2" t="s">
        <v>3095</v>
      </c>
      <c r="H599" s="2" t="s">
        <v>3092</v>
      </c>
      <c r="I599" s="1" t="s">
        <v>14</v>
      </c>
      <c r="J599" s="1" t="s">
        <v>4997</v>
      </c>
      <c r="K599" s="17"/>
      <c r="L599" s="54">
        <v>0.155</v>
      </c>
      <c r="M599" s="39"/>
      <c r="N599" s="39"/>
      <c r="O599" s="39">
        <f>984.7/2</f>
        <v>492.35</v>
      </c>
      <c r="P599" s="39"/>
      <c r="Q599" s="39"/>
      <c r="R599" s="39">
        <f>984.7/2</f>
        <v>492.35</v>
      </c>
      <c r="S599" s="39"/>
      <c r="T599" s="39"/>
      <c r="U599" s="39"/>
      <c r="V599" s="3"/>
      <c r="W599" s="92" t="s">
        <v>3088</v>
      </c>
    </row>
    <row r="600" spans="1:24" s="79" customFormat="1" ht="63.75" x14ac:dyDescent="0.2">
      <c r="A600" s="1" t="s">
        <v>47</v>
      </c>
      <c r="B600" s="2" t="s">
        <v>48</v>
      </c>
      <c r="C600" s="2" t="s">
        <v>49</v>
      </c>
      <c r="D600" s="2" t="s">
        <v>50</v>
      </c>
      <c r="E600" s="2">
        <v>2023</v>
      </c>
      <c r="F600" s="2" t="s">
        <v>311</v>
      </c>
      <c r="G600" s="2" t="s">
        <v>3095</v>
      </c>
      <c r="H600" s="2" t="s">
        <v>3092</v>
      </c>
      <c r="I600" s="1" t="s">
        <v>14</v>
      </c>
      <c r="J600" s="1" t="s">
        <v>4998</v>
      </c>
      <c r="K600" s="17"/>
      <c r="L600" s="54">
        <v>0.154</v>
      </c>
      <c r="M600" s="39"/>
      <c r="N600" s="39"/>
      <c r="O600" s="39">
        <f>884.48/2</f>
        <v>442.24</v>
      </c>
      <c r="P600" s="39"/>
      <c r="Q600" s="39"/>
      <c r="R600" s="39">
        <f>884.48/2</f>
        <v>442.24</v>
      </c>
      <c r="S600" s="39"/>
      <c r="T600" s="39"/>
      <c r="U600" s="39"/>
      <c r="V600" s="39"/>
      <c r="W600" s="92" t="s">
        <v>3088</v>
      </c>
    </row>
    <row r="601" spans="1:24" s="79" customFormat="1" ht="63.75" x14ac:dyDescent="0.2">
      <c r="A601" s="1" t="s">
        <v>47</v>
      </c>
      <c r="B601" s="2" t="s">
        <v>48</v>
      </c>
      <c r="C601" s="2" t="s">
        <v>49</v>
      </c>
      <c r="D601" s="2" t="s">
        <v>50</v>
      </c>
      <c r="E601" s="2">
        <v>2023</v>
      </c>
      <c r="F601" s="2" t="s">
        <v>337</v>
      </c>
      <c r="G601" s="2" t="s">
        <v>3095</v>
      </c>
      <c r="H601" s="2" t="s">
        <v>3092</v>
      </c>
      <c r="I601" s="1" t="s">
        <v>14</v>
      </c>
      <c r="J601" s="1" t="s">
        <v>4999</v>
      </c>
      <c r="K601" s="17"/>
      <c r="L601" s="54">
        <v>0.15</v>
      </c>
      <c r="M601" s="39"/>
      <c r="N601" s="39"/>
      <c r="O601" s="39">
        <f>884.48/2</f>
        <v>442.24</v>
      </c>
      <c r="P601" s="39"/>
      <c r="Q601" s="39"/>
      <c r="R601" s="39">
        <f>884.48/2</f>
        <v>442.24</v>
      </c>
      <c r="S601" s="39"/>
      <c r="T601" s="39"/>
      <c r="U601" s="39"/>
      <c r="V601" s="39"/>
      <c r="W601" s="92" t="s">
        <v>3088</v>
      </c>
    </row>
    <row r="602" spans="1:24" s="79" customFormat="1" ht="63.75" x14ac:dyDescent="0.2">
      <c r="A602" s="1" t="s">
        <v>47</v>
      </c>
      <c r="B602" s="2" t="s">
        <v>48</v>
      </c>
      <c r="C602" s="2" t="s">
        <v>49</v>
      </c>
      <c r="D602" s="2" t="s">
        <v>50</v>
      </c>
      <c r="E602" s="2">
        <v>2023</v>
      </c>
      <c r="F602" s="2" t="s">
        <v>364</v>
      </c>
      <c r="G602" s="2" t="s">
        <v>3095</v>
      </c>
      <c r="H602" s="2" t="s">
        <v>3092</v>
      </c>
      <c r="I602" s="1" t="s">
        <v>14</v>
      </c>
      <c r="J602" s="1" t="s">
        <v>5000</v>
      </c>
      <c r="K602" s="17"/>
      <c r="L602" s="54">
        <v>0.14899999999999999</v>
      </c>
      <c r="M602" s="39"/>
      <c r="N602" s="39"/>
      <c r="O602" s="39">
        <f>1011.72/2</f>
        <v>505.86</v>
      </c>
      <c r="P602" s="39"/>
      <c r="Q602" s="39"/>
      <c r="R602" s="39">
        <f>1011.72/2</f>
        <v>505.86</v>
      </c>
      <c r="S602" s="39"/>
      <c r="T602" s="39"/>
      <c r="U602" s="39"/>
      <c r="V602" s="39"/>
      <c r="W602" s="92" t="s">
        <v>3088</v>
      </c>
    </row>
    <row r="603" spans="1:24" s="79" customFormat="1" ht="63.75" x14ac:dyDescent="0.2">
      <c r="A603" s="1" t="s">
        <v>47</v>
      </c>
      <c r="B603" s="2" t="s">
        <v>48</v>
      </c>
      <c r="C603" s="2" t="s">
        <v>49</v>
      </c>
      <c r="D603" s="2" t="s">
        <v>50</v>
      </c>
      <c r="E603" s="2">
        <v>2023</v>
      </c>
      <c r="F603" s="2" t="s">
        <v>388</v>
      </c>
      <c r="G603" s="2" t="s">
        <v>3095</v>
      </c>
      <c r="H603" s="2" t="s">
        <v>3092</v>
      </c>
      <c r="I603" s="1" t="s">
        <v>14</v>
      </c>
      <c r="J603" s="1" t="s">
        <v>5001</v>
      </c>
      <c r="K603" s="17"/>
      <c r="L603" s="53">
        <v>0.14199999999999999</v>
      </c>
      <c r="M603" s="39"/>
      <c r="N603" s="39"/>
      <c r="O603" s="39">
        <f>970.83/2</f>
        <v>485.41500000000002</v>
      </c>
      <c r="P603" s="39"/>
      <c r="Q603" s="39"/>
      <c r="R603" s="39">
        <f>970.83/2</f>
        <v>485.41500000000002</v>
      </c>
      <c r="S603" s="39"/>
      <c r="T603" s="39"/>
      <c r="U603" s="39"/>
      <c r="V603" s="39"/>
      <c r="W603" s="92" t="s">
        <v>3088</v>
      </c>
      <c r="X603"/>
    </row>
    <row r="604" spans="1:24" s="79" customFormat="1" ht="52.5" customHeight="1" x14ac:dyDescent="0.2">
      <c r="A604" s="1" t="s">
        <v>112</v>
      </c>
      <c r="B604" s="2" t="s">
        <v>48</v>
      </c>
      <c r="C604" s="2" t="s">
        <v>49</v>
      </c>
      <c r="D604" s="2" t="s">
        <v>50</v>
      </c>
      <c r="E604" s="2">
        <v>2023</v>
      </c>
      <c r="F604" s="2" t="s">
        <v>13</v>
      </c>
      <c r="G604" s="2" t="s">
        <v>3095</v>
      </c>
      <c r="H604" s="2" t="s">
        <v>3092</v>
      </c>
      <c r="I604" s="1" t="s">
        <v>14</v>
      </c>
      <c r="J604" s="1" t="s">
        <v>5002</v>
      </c>
      <c r="K604" s="17"/>
      <c r="L604" s="33">
        <v>0.129</v>
      </c>
      <c r="M604" s="15"/>
      <c r="N604" s="15"/>
      <c r="O604" s="15"/>
      <c r="P604" s="15"/>
      <c r="Q604" s="15"/>
      <c r="R604" s="15">
        <f>894.17*0.8</f>
        <v>715.33600000000001</v>
      </c>
      <c r="S604" s="15"/>
      <c r="T604" s="15"/>
      <c r="U604" s="81"/>
      <c r="V604" s="15"/>
      <c r="W604" s="92" t="s">
        <v>3789</v>
      </c>
    </row>
    <row r="605" spans="1:24" s="79" customFormat="1" ht="51" x14ac:dyDescent="0.2">
      <c r="A605" s="1" t="s">
        <v>112</v>
      </c>
      <c r="B605" s="2" t="s">
        <v>48</v>
      </c>
      <c r="C605" s="2" t="s">
        <v>49</v>
      </c>
      <c r="D605" s="2" t="s">
        <v>50</v>
      </c>
      <c r="E605" s="2">
        <v>2023</v>
      </c>
      <c r="F605" s="2" t="s">
        <v>188</v>
      </c>
      <c r="G605" s="2" t="s">
        <v>3095</v>
      </c>
      <c r="H605" s="2" t="s">
        <v>3092</v>
      </c>
      <c r="I605" s="1" t="s">
        <v>14</v>
      </c>
      <c r="J605" s="1" t="s">
        <v>5003</v>
      </c>
      <c r="K605" s="17"/>
      <c r="L605" s="54">
        <v>0.13089999999999999</v>
      </c>
      <c r="M605" s="15"/>
      <c r="N605" s="15"/>
      <c r="O605" s="15"/>
      <c r="P605" s="15"/>
      <c r="Q605" s="15"/>
      <c r="R605" s="15">
        <f>867.86*0.8</f>
        <v>694.28800000000001</v>
      </c>
      <c r="S605" s="15"/>
      <c r="T605" s="15"/>
      <c r="U605" s="3"/>
      <c r="V605" s="15"/>
      <c r="W605" s="92" t="s">
        <v>3789</v>
      </c>
    </row>
    <row r="606" spans="1:24" s="79" customFormat="1" ht="51" x14ac:dyDescent="0.2">
      <c r="A606" s="1" t="s">
        <v>112</v>
      </c>
      <c r="B606" s="2" t="s">
        <v>48</v>
      </c>
      <c r="C606" s="2" t="s">
        <v>49</v>
      </c>
      <c r="D606" s="2" t="s">
        <v>50</v>
      </c>
      <c r="E606" s="2">
        <v>2023</v>
      </c>
      <c r="F606" s="2" t="s">
        <v>203</v>
      </c>
      <c r="G606" s="2" t="s">
        <v>3095</v>
      </c>
      <c r="H606" s="2" t="s">
        <v>3092</v>
      </c>
      <c r="I606" s="1" t="s">
        <v>14</v>
      </c>
      <c r="J606" s="1" t="s">
        <v>5004</v>
      </c>
      <c r="K606" s="17"/>
      <c r="L606" s="54">
        <v>0.14299999999999999</v>
      </c>
      <c r="M606" s="39"/>
      <c r="N606" s="39"/>
      <c r="O606" s="39"/>
      <c r="P606" s="39"/>
      <c r="Q606" s="39"/>
      <c r="R606" s="39">
        <f>868.25*0.8</f>
        <v>694.6</v>
      </c>
      <c r="S606" s="39"/>
      <c r="T606" s="39"/>
      <c r="U606" s="3"/>
      <c r="V606" s="39"/>
      <c r="W606" s="92" t="s">
        <v>3789</v>
      </c>
    </row>
    <row r="607" spans="1:24" s="79" customFormat="1" ht="63.75" x14ac:dyDescent="0.2">
      <c r="A607" s="1" t="s">
        <v>112</v>
      </c>
      <c r="B607" s="2" t="s">
        <v>48</v>
      </c>
      <c r="C607" s="2" t="s">
        <v>49</v>
      </c>
      <c r="D607" s="2" t="s">
        <v>50</v>
      </c>
      <c r="E607" s="2">
        <v>2023</v>
      </c>
      <c r="F607" s="2" t="s">
        <v>211</v>
      </c>
      <c r="G607" s="2" t="s">
        <v>3095</v>
      </c>
      <c r="H607" s="2" t="s">
        <v>3092</v>
      </c>
      <c r="I607" s="1" t="s">
        <v>14</v>
      </c>
      <c r="J607" s="1" t="s">
        <v>5005</v>
      </c>
      <c r="K607" s="17"/>
      <c r="L607" s="54">
        <v>0.1595</v>
      </c>
      <c r="M607" s="15"/>
      <c r="N607" s="15"/>
      <c r="O607" s="15">
        <f>572*0.8</f>
        <v>457.6</v>
      </c>
      <c r="P607" s="15"/>
      <c r="Q607" s="15"/>
      <c r="R607" s="15"/>
      <c r="S607" s="15"/>
      <c r="T607" s="15"/>
      <c r="U607" s="3"/>
      <c r="V607" s="15"/>
      <c r="W607" s="92" t="s">
        <v>1680</v>
      </c>
    </row>
    <row r="608" spans="1:24" s="79" customFormat="1" ht="51" x14ac:dyDescent="0.2">
      <c r="A608" s="1" t="s">
        <v>112</v>
      </c>
      <c r="B608" s="2" t="s">
        <v>48</v>
      </c>
      <c r="C608" s="2" t="s">
        <v>49</v>
      </c>
      <c r="D608" s="2" t="s">
        <v>50</v>
      </c>
      <c r="E608" s="2">
        <v>2023</v>
      </c>
      <c r="F608" s="2" t="s">
        <v>221</v>
      </c>
      <c r="G608" s="2" t="s">
        <v>3095</v>
      </c>
      <c r="H608" s="2" t="s">
        <v>3092</v>
      </c>
      <c r="I608" s="1" t="s">
        <v>14</v>
      </c>
      <c r="J608" s="1" t="s">
        <v>5006</v>
      </c>
      <c r="K608" s="17"/>
      <c r="L608" s="54">
        <v>0.151</v>
      </c>
      <c r="M608" s="39"/>
      <c r="N608" s="39"/>
      <c r="O608" s="39">
        <f>776/2*0.8</f>
        <v>310.40000000000003</v>
      </c>
      <c r="P608" s="39"/>
      <c r="Q608" s="39"/>
      <c r="R608" s="39">
        <f>776/2*0.8</f>
        <v>310.40000000000003</v>
      </c>
      <c r="S608" s="39"/>
      <c r="T608" s="39"/>
      <c r="U608" s="3"/>
      <c r="V608" s="39"/>
      <c r="W608" s="92" t="s">
        <v>5007</v>
      </c>
    </row>
    <row r="609" spans="1:24" s="79" customFormat="1" ht="51" x14ac:dyDescent="0.2">
      <c r="A609" s="1" t="s">
        <v>112</v>
      </c>
      <c r="B609" s="2" t="s">
        <v>48</v>
      </c>
      <c r="C609" s="2" t="s">
        <v>49</v>
      </c>
      <c r="D609" s="2" t="s">
        <v>50</v>
      </c>
      <c r="E609" s="2">
        <v>2023</v>
      </c>
      <c r="F609" s="2" t="s">
        <v>256</v>
      </c>
      <c r="G609" s="2" t="s">
        <v>3095</v>
      </c>
      <c r="H609" s="2" t="s">
        <v>3092</v>
      </c>
      <c r="I609" s="1" t="s">
        <v>14</v>
      </c>
      <c r="J609" s="1" t="s">
        <v>5008</v>
      </c>
      <c r="K609" s="17"/>
      <c r="L609" s="54">
        <v>0.14199999999999999</v>
      </c>
      <c r="M609" s="39"/>
      <c r="N609" s="39"/>
      <c r="O609" s="39"/>
      <c r="P609" s="39"/>
      <c r="Q609" s="39"/>
      <c r="R609" s="39">
        <f>919*0.8</f>
        <v>735.2</v>
      </c>
      <c r="S609" s="39"/>
      <c r="T609" s="39"/>
      <c r="U609" s="3"/>
      <c r="V609" s="39"/>
      <c r="W609" s="92" t="s">
        <v>3789</v>
      </c>
    </row>
    <row r="610" spans="1:24" s="79" customFormat="1" ht="51" x14ac:dyDescent="0.2">
      <c r="A610" s="1" t="s">
        <v>112</v>
      </c>
      <c r="B610" s="2" t="s">
        <v>48</v>
      </c>
      <c r="C610" s="2" t="s">
        <v>49</v>
      </c>
      <c r="D610" s="2" t="s">
        <v>50</v>
      </c>
      <c r="E610" s="2">
        <v>2023</v>
      </c>
      <c r="F610" s="2" t="s">
        <v>276</v>
      </c>
      <c r="G610" s="2" t="s">
        <v>3095</v>
      </c>
      <c r="H610" s="2" t="s">
        <v>3092</v>
      </c>
      <c r="I610" s="1" t="s">
        <v>14</v>
      </c>
      <c r="J610" s="1" t="s">
        <v>5009</v>
      </c>
      <c r="K610" s="17"/>
      <c r="L610" s="54">
        <v>0.14649999999999999</v>
      </c>
      <c r="M610" s="39"/>
      <c r="N610" s="39"/>
      <c r="O610" s="39"/>
      <c r="P610" s="39"/>
      <c r="Q610" s="39"/>
      <c r="R610" s="39">
        <f>642*0.8</f>
        <v>513.6</v>
      </c>
      <c r="S610" s="39"/>
      <c r="T610" s="39"/>
      <c r="U610" s="3"/>
      <c r="V610" s="39"/>
      <c r="W610" s="92" t="s">
        <v>3789</v>
      </c>
    </row>
    <row r="611" spans="1:24" s="79" customFormat="1" ht="63.75" x14ac:dyDescent="0.2">
      <c r="A611" s="1" t="s">
        <v>112</v>
      </c>
      <c r="B611" s="2" t="s">
        <v>48</v>
      </c>
      <c r="C611" s="2" t="s">
        <v>49</v>
      </c>
      <c r="D611" s="2" t="s">
        <v>50</v>
      </c>
      <c r="E611" s="2">
        <v>2023</v>
      </c>
      <c r="F611" s="2" t="s">
        <v>291</v>
      </c>
      <c r="G611" s="2" t="s">
        <v>3095</v>
      </c>
      <c r="H611" s="2" t="s">
        <v>3092</v>
      </c>
      <c r="I611" s="1" t="s">
        <v>14</v>
      </c>
      <c r="J611" s="1" t="s">
        <v>5010</v>
      </c>
      <c r="K611" s="17"/>
      <c r="L611" s="54">
        <v>0.14399999999999999</v>
      </c>
      <c r="M611" s="39"/>
      <c r="N611" s="39"/>
      <c r="O611" s="39">
        <f>688/2*0.8</f>
        <v>275.2</v>
      </c>
      <c r="P611" s="39"/>
      <c r="Q611" s="39"/>
      <c r="R611" s="39">
        <f>688/2*0.8</f>
        <v>275.2</v>
      </c>
      <c r="S611" s="39"/>
      <c r="T611" s="39"/>
      <c r="U611" s="3"/>
      <c r="V611" s="39"/>
      <c r="W611" s="92" t="s">
        <v>5007</v>
      </c>
    </row>
    <row r="612" spans="1:24" s="79" customFormat="1" ht="51" x14ac:dyDescent="0.2">
      <c r="A612" s="1" t="s">
        <v>112</v>
      </c>
      <c r="B612" s="2" t="s">
        <v>48</v>
      </c>
      <c r="C612" s="2" t="s">
        <v>49</v>
      </c>
      <c r="D612" s="2" t="s">
        <v>50</v>
      </c>
      <c r="E612" s="2">
        <v>2023</v>
      </c>
      <c r="F612" s="2" t="s">
        <v>311</v>
      </c>
      <c r="G612" s="2" t="s">
        <v>3095</v>
      </c>
      <c r="H612" s="2" t="s">
        <v>3092</v>
      </c>
      <c r="I612" s="1" t="s">
        <v>14</v>
      </c>
      <c r="J612" s="1" t="s">
        <v>5011</v>
      </c>
      <c r="K612" s="17"/>
      <c r="L612" s="54">
        <v>0.13900000000000001</v>
      </c>
      <c r="M612" s="39"/>
      <c r="N612" s="39"/>
      <c r="O612" s="39">
        <f>627/2*0.8</f>
        <v>250.8</v>
      </c>
      <c r="P612" s="39"/>
      <c r="Q612" s="39"/>
      <c r="R612" s="39">
        <f>627/2*0.8</f>
        <v>250.8</v>
      </c>
      <c r="S612" s="39"/>
      <c r="T612" s="39"/>
      <c r="U612" s="3"/>
      <c r="V612" s="39"/>
      <c r="W612" s="92" t="s">
        <v>5007</v>
      </c>
    </row>
    <row r="613" spans="1:24" s="79" customFormat="1" ht="51" x14ac:dyDescent="0.2">
      <c r="A613" s="1" t="s">
        <v>112</v>
      </c>
      <c r="B613" s="2" t="s">
        <v>48</v>
      </c>
      <c r="C613" s="2" t="s">
        <v>49</v>
      </c>
      <c r="D613" s="2" t="s">
        <v>50</v>
      </c>
      <c r="E613" s="2">
        <v>2023</v>
      </c>
      <c r="F613" s="2" t="s">
        <v>337</v>
      </c>
      <c r="G613" s="2" t="s">
        <v>3095</v>
      </c>
      <c r="H613" s="2" t="s">
        <v>3092</v>
      </c>
      <c r="I613" s="1" t="s">
        <v>14</v>
      </c>
      <c r="J613" s="1" t="s">
        <v>5012</v>
      </c>
      <c r="K613" s="17"/>
      <c r="L613" s="54">
        <v>0.13600000000000001</v>
      </c>
      <c r="M613" s="39"/>
      <c r="N613" s="39"/>
      <c r="O613" s="39">
        <f>712/2*0.8</f>
        <v>284.8</v>
      </c>
      <c r="P613" s="39"/>
      <c r="Q613" s="39"/>
      <c r="R613" s="39">
        <f>712/2*0.8</f>
        <v>284.8</v>
      </c>
      <c r="S613" s="39"/>
      <c r="T613" s="39"/>
      <c r="U613" s="3"/>
      <c r="V613" s="39"/>
      <c r="W613" s="92" t="s">
        <v>5007</v>
      </c>
    </row>
    <row r="614" spans="1:24" s="79" customFormat="1" ht="76.5" x14ac:dyDescent="0.2">
      <c r="A614" s="1" t="s">
        <v>112</v>
      </c>
      <c r="B614" s="2" t="s">
        <v>48</v>
      </c>
      <c r="C614" s="2" t="s">
        <v>49</v>
      </c>
      <c r="D614" s="2" t="s">
        <v>50</v>
      </c>
      <c r="E614" s="2">
        <v>2023</v>
      </c>
      <c r="F614" s="2" t="s">
        <v>364</v>
      </c>
      <c r="G614" s="2" t="s">
        <v>3095</v>
      </c>
      <c r="H614" s="2" t="s">
        <v>3092</v>
      </c>
      <c r="I614" s="1" t="s">
        <v>14</v>
      </c>
      <c r="J614" s="1" t="s">
        <v>5013</v>
      </c>
      <c r="K614" s="17"/>
      <c r="L614" s="54">
        <v>0.14510000000000001</v>
      </c>
      <c r="M614" s="39"/>
      <c r="N614" s="39"/>
      <c r="O614" s="39"/>
      <c r="P614" s="39"/>
      <c r="Q614" s="39"/>
      <c r="R614" s="39">
        <f>748*0.8</f>
        <v>598.4</v>
      </c>
      <c r="S614" s="39"/>
      <c r="T614" s="39"/>
      <c r="U614" s="3"/>
      <c r="V614" s="39"/>
      <c r="W614" s="92" t="s">
        <v>3789</v>
      </c>
    </row>
    <row r="615" spans="1:24" s="79" customFormat="1" ht="51" x14ac:dyDescent="0.2">
      <c r="A615" s="1" t="s">
        <v>112</v>
      </c>
      <c r="B615" s="2" t="s">
        <v>48</v>
      </c>
      <c r="C615" s="2" t="s">
        <v>49</v>
      </c>
      <c r="D615" s="2" t="s">
        <v>50</v>
      </c>
      <c r="E615" s="2">
        <v>2023</v>
      </c>
      <c r="F615" s="2" t="s">
        <v>388</v>
      </c>
      <c r="G615" s="2" t="s">
        <v>3095</v>
      </c>
      <c r="H615" s="2" t="s">
        <v>3092</v>
      </c>
      <c r="I615" s="1" t="s">
        <v>14</v>
      </c>
      <c r="J615" s="1" t="s">
        <v>5014</v>
      </c>
      <c r="K615" s="17"/>
      <c r="L615" s="53">
        <v>0.14480000000000001</v>
      </c>
      <c r="M615" s="39"/>
      <c r="N615" s="39"/>
      <c r="O615" s="39"/>
      <c r="P615" s="39"/>
      <c r="Q615" s="39"/>
      <c r="R615" s="39">
        <f>842.3*0.8</f>
        <v>673.84</v>
      </c>
      <c r="S615" s="39"/>
      <c r="T615" s="39"/>
      <c r="U615" s="3"/>
      <c r="V615" s="39"/>
      <c r="W615" s="92" t="s">
        <v>3789</v>
      </c>
      <c r="X615"/>
    </row>
    <row r="616" spans="1:24" s="79" customFormat="1" ht="51" x14ac:dyDescent="0.2">
      <c r="A616" s="1" t="s">
        <v>51</v>
      </c>
      <c r="B616" s="2" t="s">
        <v>48</v>
      </c>
      <c r="C616" s="2" t="s">
        <v>49</v>
      </c>
      <c r="D616" s="2" t="s">
        <v>50</v>
      </c>
      <c r="E616" s="2">
        <v>2023</v>
      </c>
      <c r="F616" s="2" t="s">
        <v>13</v>
      </c>
      <c r="G616" s="2" t="s">
        <v>3095</v>
      </c>
      <c r="H616" s="2" t="s">
        <v>3092</v>
      </c>
      <c r="I616" s="1" t="s">
        <v>14</v>
      </c>
      <c r="J616" s="1" t="s">
        <v>5015</v>
      </c>
      <c r="K616" s="17"/>
      <c r="L616" s="54">
        <v>0.15</v>
      </c>
      <c r="M616" s="39"/>
      <c r="N616" s="39"/>
      <c r="O616" s="39"/>
      <c r="P616" s="39"/>
      <c r="Q616" s="39"/>
      <c r="R616" s="3"/>
      <c r="S616" s="39"/>
      <c r="T616" s="39"/>
      <c r="U616" s="39"/>
      <c r="V616" s="39">
        <f>217*0.8</f>
        <v>173.60000000000002</v>
      </c>
      <c r="W616" s="92" t="s">
        <v>5016</v>
      </c>
    </row>
    <row r="617" spans="1:24" s="79" customFormat="1" ht="51" x14ac:dyDescent="0.2">
      <c r="A617" s="1" t="s">
        <v>51</v>
      </c>
      <c r="B617" s="2" t="s">
        <v>48</v>
      </c>
      <c r="C617" s="2" t="s">
        <v>49</v>
      </c>
      <c r="D617" s="2" t="s">
        <v>50</v>
      </c>
      <c r="E617" s="2">
        <v>2023</v>
      </c>
      <c r="F617" s="2" t="s">
        <v>188</v>
      </c>
      <c r="G617" s="2" t="s">
        <v>3095</v>
      </c>
      <c r="H617" s="2" t="s">
        <v>3092</v>
      </c>
      <c r="I617" s="1" t="s">
        <v>14</v>
      </c>
      <c r="J617" s="1" t="s">
        <v>5017</v>
      </c>
      <c r="K617" s="17"/>
      <c r="L617" s="54">
        <v>0.155</v>
      </c>
      <c r="M617" s="39"/>
      <c r="N617" s="39"/>
      <c r="O617" s="39"/>
      <c r="P617" s="39"/>
      <c r="Q617" s="39"/>
      <c r="R617" s="3"/>
      <c r="S617" s="39"/>
      <c r="T617" s="39"/>
      <c r="U617" s="39"/>
      <c r="V617" s="39">
        <f>258*0.8</f>
        <v>206.4</v>
      </c>
      <c r="W617" s="92" t="s">
        <v>5016</v>
      </c>
    </row>
    <row r="618" spans="1:24" s="79" customFormat="1" ht="51" x14ac:dyDescent="0.2">
      <c r="A618" s="1" t="s">
        <v>51</v>
      </c>
      <c r="B618" s="2" t="s">
        <v>48</v>
      </c>
      <c r="C618" s="2" t="s">
        <v>49</v>
      </c>
      <c r="D618" s="2" t="s">
        <v>50</v>
      </c>
      <c r="E618" s="2">
        <v>2023</v>
      </c>
      <c r="F618" s="2" t="s">
        <v>203</v>
      </c>
      <c r="G618" s="2" t="s">
        <v>3095</v>
      </c>
      <c r="H618" s="2" t="s">
        <v>3092</v>
      </c>
      <c r="I618" s="1" t="s">
        <v>14</v>
      </c>
      <c r="J618" s="1" t="s">
        <v>5018</v>
      </c>
      <c r="K618" s="17"/>
      <c r="L618" s="54">
        <v>0.14099999999999999</v>
      </c>
      <c r="M618" s="39"/>
      <c r="N618" s="39"/>
      <c r="O618" s="39"/>
      <c r="P618" s="39"/>
      <c r="Q618" s="39"/>
      <c r="R618" s="3"/>
      <c r="S618" s="39"/>
      <c r="T618" s="39"/>
      <c r="U618" s="39"/>
      <c r="V618" s="39">
        <f>276*0.8</f>
        <v>220.8</v>
      </c>
      <c r="W618" s="92" t="s">
        <v>5016</v>
      </c>
    </row>
    <row r="619" spans="1:24" s="79" customFormat="1" ht="51" x14ac:dyDescent="0.2">
      <c r="A619" s="1" t="s">
        <v>51</v>
      </c>
      <c r="B619" s="2" t="s">
        <v>48</v>
      </c>
      <c r="C619" s="2" t="s">
        <v>49</v>
      </c>
      <c r="D619" s="2" t="s">
        <v>50</v>
      </c>
      <c r="E619" s="2">
        <v>2023</v>
      </c>
      <c r="F619" s="2" t="s">
        <v>211</v>
      </c>
      <c r="G619" s="2" t="s">
        <v>3095</v>
      </c>
      <c r="H619" s="2" t="s">
        <v>3092</v>
      </c>
      <c r="I619" s="1" t="s">
        <v>14</v>
      </c>
      <c r="J619" s="1" t="s">
        <v>5019</v>
      </c>
      <c r="K619" s="17"/>
      <c r="L619" s="54">
        <v>0.153</v>
      </c>
      <c r="M619" s="39"/>
      <c r="N619" s="39"/>
      <c r="O619" s="39"/>
      <c r="P619" s="39"/>
      <c r="Q619" s="39"/>
      <c r="R619" s="3"/>
      <c r="S619" s="39"/>
      <c r="T619" s="39"/>
      <c r="U619" s="39"/>
      <c r="V619" s="39">
        <f>288*0.8</f>
        <v>230.4</v>
      </c>
      <c r="W619" s="92" t="s">
        <v>5016</v>
      </c>
    </row>
    <row r="620" spans="1:24" s="79" customFormat="1" ht="51" x14ac:dyDescent="0.2">
      <c r="A620" s="1" t="s">
        <v>51</v>
      </c>
      <c r="B620" s="2" t="s">
        <v>48</v>
      </c>
      <c r="C620" s="2" t="s">
        <v>49</v>
      </c>
      <c r="D620" s="2" t="s">
        <v>50</v>
      </c>
      <c r="E620" s="2">
        <v>2023</v>
      </c>
      <c r="F620" s="2" t="s">
        <v>221</v>
      </c>
      <c r="G620" s="2" t="s">
        <v>3095</v>
      </c>
      <c r="H620" s="2" t="s">
        <v>3092</v>
      </c>
      <c r="I620" s="1" t="s">
        <v>14</v>
      </c>
      <c r="J620" s="1" t="s">
        <v>5020</v>
      </c>
      <c r="K620" s="17"/>
      <c r="L620" s="54">
        <v>0.16200000000000001</v>
      </c>
      <c r="M620" s="39"/>
      <c r="N620" s="39"/>
      <c r="O620" s="39"/>
      <c r="P620" s="39"/>
      <c r="Q620" s="39"/>
      <c r="R620" s="3"/>
      <c r="S620" s="39"/>
      <c r="T620" s="39"/>
      <c r="U620" s="39"/>
      <c r="V620" s="39">
        <f>284*0.8</f>
        <v>227.20000000000002</v>
      </c>
      <c r="W620" s="92" t="s">
        <v>5016</v>
      </c>
    </row>
    <row r="621" spans="1:24" s="79" customFormat="1" ht="51" x14ac:dyDescent="0.2">
      <c r="A621" s="1" t="s">
        <v>51</v>
      </c>
      <c r="B621" s="2" t="s">
        <v>48</v>
      </c>
      <c r="C621" s="2" t="s">
        <v>49</v>
      </c>
      <c r="D621" s="2" t="s">
        <v>50</v>
      </c>
      <c r="E621" s="2">
        <v>2023</v>
      </c>
      <c r="F621" s="2" t="s">
        <v>256</v>
      </c>
      <c r="G621" s="2" t="s">
        <v>3095</v>
      </c>
      <c r="H621" s="2" t="s">
        <v>3092</v>
      </c>
      <c r="I621" s="1" t="s">
        <v>14</v>
      </c>
      <c r="J621" s="1" t="s">
        <v>5021</v>
      </c>
      <c r="K621" s="17"/>
      <c r="L621" s="54">
        <v>0.158</v>
      </c>
      <c r="M621" s="39"/>
      <c r="N621" s="39"/>
      <c r="O621" s="39"/>
      <c r="P621" s="39"/>
      <c r="Q621" s="39"/>
      <c r="R621" s="3"/>
      <c r="S621" s="39"/>
      <c r="T621" s="39"/>
      <c r="U621" s="39"/>
      <c r="V621" s="39">
        <f>204*0.8</f>
        <v>163.20000000000002</v>
      </c>
      <c r="W621" s="92" t="s">
        <v>5016</v>
      </c>
    </row>
    <row r="622" spans="1:24" s="79" customFormat="1" ht="51" x14ac:dyDescent="0.2">
      <c r="A622" s="1" t="s">
        <v>51</v>
      </c>
      <c r="B622" s="2" t="s">
        <v>48</v>
      </c>
      <c r="C622" s="2" t="s">
        <v>49</v>
      </c>
      <c r="D622" s="2" t="s">
        <v>50</v>
      </c>
      <c r="E622" s="2">
        <v>2023</v>
      </c>
      <c r="F622" s="2" t="s">
        <v>276</v>
      </c>
      <c r="G622" s="2" t="s">
        <v>3095</v>
      </c>
      <c r="H622" s="2" t="s">
        <v>3092</v>
      </c>
      <c r="I622" s="1" t="s">
        <v>14</v>
      </c>
      <c r="J622" s="1" t="s">
        <v>5022</v>
      </c>
      <c r="K622" s="17"/>
      <c r="L622" s="54">
        <v>0.1643</v>
      </c>
      <c r="M622" s="39"/>
      <c r="N622" s="39"/>
      <c r="O622" s="39"/>
      <c r="P622" s="39"/>
      <c r="Q622" s="39"/>
      <c r="R622" s="3"/>
      <c r="S622" s="39"/>
      <c r="T622" s="39"/>
      <c r="U622" s="39"/>
      <c r="V622" s="39">
        <f>268*0.8</f>
        <v>214.4</v>
      </c>
      <c r="W622" s="92" t="s">
        <v>5016</v>
      </c>
    </row>
    <row r="623" spans="1:24" s="79" customFormat="1" ht="51" x14ac:dyDescent="0.2">
      <c r="A623" s="1" t="s">
        <v>51</v>
      </c>
      <c r="B623" s="2" t="s">
        <v>48</v>
      </c>
      <c r="C623" s="2" t="s">
        <v>49</v>
      </c>
      <c r="D623" s="2" t="s">
        <v>50</v>
      </c>
      <c r="E623" s="2">
        <v>2023</v>
      </c>
      <c r="F623" s="2" t="s">
        <v>291</v>
      </c>
      <c r="G623" s="2" t="s">
        <v>3095</v>
      </c>
      <c r="H623" s="2" t="s">
        <v>3092</v>
      </c>
      <c r="I623" s="1" t="s">
        <v>14</v>
      </c>
      <c r="J623" s="1" t="s">
        <v>5023</v>
      </c>
      <c r="K623" s="17"/>
      <c r="L623" s="54">
        <v>0.156</v>
      </c>
      <c r="M623" s="3"/>
      <c r="N623" s="39"/>
      <c r="O623" s="39"/>
      <c r="P623" s="39"/>
      <c r="Q623" s="39"/>
      <c r="R623" s="39"/>
      <c r="S623" s="39"/>
      <c r="T623" s="39"/>
      <c r="U623" s="39"/>
      <c r="V623" s="3">
        <f>243*0.8</f>
        <v>194.4</v>
      </c>
      <c r="W623" s="92" t="s">
        <v>5016</v>
      </c>
    </row>
    <row r="624" spans="1:24" s="79" customFormat="1" ht="51" x14ac:dyDescent="0.2">
      <c r="A624" s="1" t="s">
        <v>51</v>
      </c>
      <c r="B624" s="2" t="s">
        <v>48</v>
      </c>
      <c r="C624" s="2" t="s">
        <v>49</v>
      </c>
      <c r="D624" s="2" t="s">
        <v>50</v>
      </c>
      <c r="E624" s="2">
        <v>2023</v>
      </c>
      <c r="F624" s="2" t="s">
        <v>311</v>
      </c>
      <c r="G624" s="2" t="s">
        <v>3095</v>
      </c>
      <c r="H624" s="2" t="s">
        <v>3092</v>
      </c>
      <c r="I624" s="1" t="s">
        <v>14</v>
      </c>
      <c r="J624" s="1" t="s">
        <v>5024</v>
      </c>
      <c r="K624" s="17"/>
      <c r="L624" s="54">
        <v>0.16800000000000001</v>
      </c>
      <c r="M624" s="39"/>
      <c r="N624" s="39"/>
      <c r="O624" s="39"/>
      <c r="P624" s="39"/>
      <c r="Q624" s="39"/>
      <c r="R624" s="39"/>
      <c r="S624" s="39"/>
      <c r="T624" s="39"/>
      <c r="U624" s="39"/>
      <c r="V624" s="39">
        <f>178*0.8</f>
        <v>142.4</v>
      </c>
      <c r="W624" s="92" t="s">
        <v>5016</v>
      </c>
    </row>
    <row r="625" spans="1:23" s="79" customFormat="1" ht="51" x14ac:dyDescent="0.2">
      <c r="A625" s="1" t="s">
        <v>51</v>
      </c>
      <c r="B625" s="2" t="s">
        <v>48</v>
      </c>
      <c r="C625" s="2" t="s">
        <v>49</v>
      </c>
      <c r="D625" s="2" t="s">
        <v>50</v>
      </c>
      <c r="E625" s="2">
        <v>2023</v>
      </c>
      <c r="F625" s="2" t="s">
        <v>337</v>
      </c>
      <c r="G625" s="2" t="s">
        <v>3095</v>
      </c>
      <c r="H625" s="2" t="s">
        <v>3092</v>
      </c>
      <c r="I625" s="1" t="s">
        <v>14</v>
      </c>
      <c r="J625" s="1" t="s">
        <v>5025</v>
      </c>
      <c r="K625" s="17"/>
      <c r="L625" s="54">
        <v>0.13500000000000001</v>
      </c>
      <c r="M625" s="39"/>
      <c r="N625" s="39"/>
      <c r="O625" s="39"/>
      <c r="P625" s="39"/>
      <c r="Q625" s="39"/>
      <c r="R625" s="39"/>
      <c r="S625" s="39"/>
      <c r="T625" s="39"/>
      <c r="U625" s="39"/>
      <c r="V625" s="39">
        <f>194*0.8</f>
        <v>155.20000000000002</v>
      </c>
      <c r="W625" s="92" t="s">
        <v>5016</v>
      </c>
    </row>
    <row r="626" spans="1:23" s="79" customFormat="1" ht="51" x14ac:dyDescent="0.2">
      <c r="A626" s="1" t="s">
        <v>51</v>
      </c>
      <c r="B626" s="2" t="s">
        <v>48</v>
      </c>
      <c r="C626" s="2" t="s">
        <v>49</v>
      </c>
      <c r="D626" s="2" t="s">
        <v>50</v>
      </c>
      <c r="E626" s="2">
        <v>2023</v>
      </c>
      <c r="F626" s="2" t="s">
        <v>364</v>
      </c>
      <c r="G626" s="2" t="s">
        <v>3095</v>
      </c>
      <c r="H626" s="2" t="s">
        <v>3092</v>
      </c>
      <c r="I626" s="1" t="s">
        <v>14</v>
      </c>
      <c r="J626" s="1" t="s">
        <v>5026</v>
      </c>
      <c r="K626" s="17"/>
      <c r="L626" s="54">
        <v>0.13400000000000001</v>
      </c>
      <c r="M626" s="39"/>
      <c r="N626" s="39"/>
      <c r="O626" s="39"/>
      <c r="P626" s="39"/>
      <c r="Q626" s="39"/>
      <c r="R626" s="39"/>
      <c r="S626" s="39"/>
      <c r="T626" s="39"/>
      <c r="U626" s="39"/>
      <c r="V626" s="39">
        <f>271*0.8</f>
        <v>216.8</v>
      </c>
      <c r="W626" s="92" t="s">
        <v>5016</v>
      </c>
    </row>
    <row r="627" spans="1:23" s="79" customFormat="1" ht="51" x14ac:dyDescent="0.2">
      <c r="A627" s="1" t="s">
        <v>51</v>
      </c>
      <c r="B627" s="2" t="s">
        <v>48</v>
      </c>
      <c r="C627" s="2" t="s">
        <v>49</v>
      </c>
      <c r="D627" s="2" t="s">
        <v>50</v>
      </c>
      <c r="E627" s="2">
        <v>2023</v>
      </c>
      <c r="F627" s="2" t="s">
        <v>388</v>
      </c>
      <c r="G627" s="2" t="s">
        <v>3095</v>
      </c>
      <c r="H627" s="2" t="s">
        <v>3092</v>
      </c>
      <c r="I627" s="1" t="s">
        <v>14</v>
      </c>
      <c r="J627" s="1" t="s">
        <v>5027</v>
      </c>
      <c r="K627" s="17"/>
      <c r="L627" s="54">
        <v>0.16769999999999999</v>
      </c>
      <c r="M627" s="39"/>
      <c r="N627" s="39"/>
      <c r="O627" s="39"/>
      <c r="P627" s="39"/>
      <c r="Q627" s="39"/>
      <c r="R627" s="39"/>
      <c r="S627" s="39"/>
      <c r="T627" s="39"/>
      <c r="U627" s="39"/>
      <c r="V627" s="39">
        <f>244*0.8</f>
        <v>195.20000000000002</v>
      </c>
      <c r="W627" s="92" t="s">
        <v>5016</v>
      </c>
    </row>
    <row r="628" spans="1:23" s="79" customFormat="1" ht="89.25" x14ac:dyDescent="0.2">
      <c r="A628" s="1" t="s">
        <v>5028</v>
      </c>
      <c r="B628" s="2" t="s">
        <v>196</v>
      </c>
      <c r="C628" s="2" t="s">
        <v>49</v>
      </c>
      <c r="D628" s="2" t="s">
        <v>50</v>
      </c>
      <c r="E628" s="2">
        <v>2023</v>
      </c>
      <c r="F628" s="2" t="s">
        <v>256</v>
      </c>
      <c r="G628" s="2" t="s">
        <v>3092</v>
      </c>
      <c r="H628" s="2" t="s">
        <v>3092</v>
      </c>
      <c r="I628" s="1" t="s">
        <v>5029</v>
      </c>
      <c r="J628" s="1" t="s">
        <v>5030</v>
      </c>
      <c r="K628" s="17"/>
      <c r="L628" s="54">
        <v>5.3100000000000001E-2</v>
      </c>
      <c r="M628" s="39"/>
      <c r="N628" s="39"/>
      <c r="O628" s="39"/>
      <c r="P628" s="39"/>
      <c r="Q628" s="39"/>
      <c r="R628" s="39">
        <v>1995</v>
      </c>
      <c r="S628" s="39"/>
      <c r="T628" s="39"/>
      <c r="U628" s="39"/>
      <c r="V628" s="39"/>
      <c r="W628" s="92" t="s">
        <v>5031</v>
      </c>
    </row>
    <row r="629" spans="1:23" s="79" customFormat="1" ht="38.25" x14ac:dyDescent="0.2">
      <c r="A629" s="1" t="s">
        <v>5032</v>
      </c>
      <c r="B629" s="2" t="s">
        <v>196</v>
      </c>
      <c r="C629" s="2" t="s">
        <v>49</v>
      </c>
      <c r="D629" s="2" t="s">
        <v>50</v>
      </c>
      <c r="E629" s="2">
        <v>2023</v>
      </c>
      <c r="F629" s="2" t="s">
        <v>337</v>
      </c>
      <c r="G629" s="2" t="s">
        <v>3092</v>
      </c>
      <c r="H629" s="2" t="s">
        <v>3092</v>
      </c>
      <c r="I629" s="1" t="s">
        <v>5033</v>
      </c>
      <c r="J629" s="1" t="s">
        <v>5034</v>
      </c>
      <c r="K629" s="17"/>
      <c r="L629" s="54">
        <v>5.1999999999999998E-2</v>
      </c>
      <c r="M629" s="39"/>
      <c r="N629" s="39"/>
      <c r="O629" s="39">
        <v>972</v>
      </c>
      <c r="P629" s="39"/>
      <c r="Q629" s="39"/>
      <c r="R629" s="39"/>
      <c r="S629" s="3"/>
      <c r="T629" s="39"/>
      <c r="U629" s="39"/>
      <c r="V629" s="39"/>
      <c r="W629" s="92" t="s">
        <v>3925</v>
      </c>
    </row>
    <row r="630" spans="1:23" s="79" customFormat="1" ht="38.25" x14ac:dyDescent="0.2">
      <c r="A630" s="1" t="s">
        <v>5035</v>
      </c>
      <c r="B630" s="2" t="s">
        <v>196</v>
      </c>
      <c r="C630" s="2" t="s">
        <v>49</v>
      </c>
      <c r="D630" s="2" t="s">
        <v>50</v>
      </c>
      <c r="E630" s="2">
        <v>2023</v>
      </c>
      <c r="F630" s="2" t="s">
        <v>337</v>
      </c>
      <c r="G630" s="2" t="s">
        <v>3092</v>
      </c>
      <c r="H630" s="2" t="s">
        <v>3092</v>
      </c>
      <c r="I630" s="1" t="s">
        <v>5036</v>
      </c>
      <c r="J630" s="1" t="s">
        <v>5037</v>
      </c>
      <c r="K630" s="17"/>
      <c r="L630" s="54">
        <v>5.8200000000000002E-2</v>
      </c>
      <c r="M630" s="39"/>
      <c r="N630" s="39"/>
      <c r="O630" s="39">
        <v>1990</v>
      </c>
      <c r="P630" s="39"/>
      <c r="Q630" s="39"/>
      <c r="R630" s="39"/>
      <c r="S630" s="39"/>
      <c r="T630" s="39"/>
      <c r="U630" s="39"/>
      <c r="V630" s="39"/>
      <c r="W630" s="92" t="s">
        <v>3925</v>
      </c>
    </row>
    <row r="631" spans="1:23" s="79" customFormat="1" ht="63.75" x14ac:dyDescent="0.2">
      <c r="A631" s="1" t="s">
        <v>5038</v>
      </c>
      <c r="B631" s="2" t="s">
        <v>196</v>
      </c>
      <c r="C631" s="2" t="s">
        <v>5039</v>
      </c>
      <c r="D631" s="2" t="s">
        <v>118</v>
      </c>
      <c r="E631" s="2">
        <v>2023</v>
      </c>
      <c r="F631" s="2" t="s">
        <v>364</v>
      </c>
      <c r="G631" s="2" t="s">
        <v>3092</v>
      </c>
      <c r="H631" s="2" t="s">
        <v>3092</v>
      </c>
      <c r="I631" s="1" t="s">
        <v>5040</v>
      </c>
      <c r="J631" s="1" t="s">
        <v>5041</v>
      </c>
      <c r="K631" s="17"/>
      <c r="L631" s="54" t="s">
        <v>1670</v>
      </c>
      <c r="M631" s="39"/>
      <c r="N631" s="39"/>
      <c r="O631" s="39"/>
      <c r="P631" s="39"/>
      <c r="Q631" s="39"/>
      <c r="R631" s="39"/>
      <c r="S631" s="39"/>
      <c r="T631" s="39"/>
      <c r="U631" s="39"/>
      <c r="V631" s="39">
        <v>56.84</v>
      </c>
      <c r="W631" s="92" t="s">
        <v>1743</v>
      </c>
    </row>
    <row r="632" spans="1:23" s="79" customFormat="1" ht="25.5" x14ac:dyDescent="0.2">
      <c r="A632" s="1" t="s">
        <v>182</v>
      </c>
      <c r="B632" s="2" t="s">
        <v>29</v>
      </c>
      <c r="C632" s="2" t="s">
        <v>183</v>
      </c>
      <c r="D632" s="2" t="s">
        <v>184</v>
      </c>
      <c r="E632" s="2">
        <v>2023</v>
      </c>
      <c r="F632" s="2" t="s">
        <v>13</v>
      </c>
      <c r="G632" s="2" t="s">
        <v>3095</v>
      </c>
      <c r="H632" s="2" t="s">
        <v>3092</v>
      </c>
      <c r="I632" s="1" t="s">
        <v>14</v>
      </c>
      <c r="J632" s="1" t="s">
        <v>5042</v>
      </c>
      <c r="K632" s="17"/>
      <c r="L632" s="54">
        <v>0.123</v>
      </c>
      <c r="M632" s="39"/>
      <c r="N632" s="39"/>
      <c r="O632" s="39"/>
      <c r="P632" s="39"/>
      <c r="Q632" s="39"/>
      <c r="R632" s="39">
        <v>44.73</v>
      </c>
      <c r="S632" s="39"/>
      <c r="T632" s="39"/>
      <c r="U632" s="39"/>
      <c r="V632" s="39"/>
      <c r="W632" s="92" t="s">
        <v>4509</v>
      </c>
    </row>
    <row r="633" spans="1:23" s="79" customFormat="1" ht="25.5" x14ac:dyDescent="0.2">
      <c r="A633" s="1" t="s">
        <v>182</v>
      </c>
      <c r="B633" s="2" t="s">
        <v>29</v>
      </c>
      <c r="C633" s="2" t="s">
        <v>183</v>
      </c>
      <c r="D633" s="2" t="s">
        <v>184</v>
      </c>
      <c r="E633" s="2">
        <v>2023</v>
      </c>
      <c r="F633" s="2" t="s">
        <v>188</v>
      </c>
      <c r="G633" s="2" t="s">
        <v>3095</v>
      </c>
      <c r="H633" s="2" t="s">
        <v>3092</v>
      </c>
      <c r="I633" s="1" t="s">
        <v>14</v>
      </c>
      <c r="J633" s="1" t="s">
        <v>5043</v>
      </c>
      <c r="K633" s="17"/>
      <c r="L633" s="54">
        <v>0.10979999999999999</v>
      </c>
      <c r="M633" s="39"/>
      <c r="N633" s="39"/>
      <c r="O633" s="39"/>
      <c r="P633" s="39"/>
      <c r="Q633" s="39"/>
      <c r="R633" s="39">
        <v>64.33</v>
      </c>
      <c r="S633" s="39"/>
      <c r="T633" s="39"/>
      <c r="U633" s="39"/>
      <c r="V633" s="39"/>
      <c r="W633" s="92" t="s">
        <v>4509</v>
      </c>
    </row>
    <row r="634" spans="1:23" s="79" customFormat="1" ht="25.5" x14ac:dyDescent="0.2">
      <c r="A634" s="1" t="s">
        <v>182</v>
      </c>
      <c r="B634" s="2" t="s">
        <v>29</v>
      </c>
      <c r="C634" s="2" t="s">
        <v>183</v>
      </c>
      <c r="D634" s="2" t="s">
        <v>184</v>
      </c>
      <c r="E634" s="2">
        <v>2023</v>
      </c>
      <c r="F634" s="2" t="s">
        <v>203</v>
      </c>
      <c r="G634" s="2" t="s">
        <v>3095</v>
      </c>
      <c r="H634" s="2" t="s">
        <v>3092</v>
      </c>
      <c r="I634" s="1" t="s">
        <v>14</v>
      </c>
      <c r="J634" s="1" t="s">
        <v>5044</v>
      </c>
      <c r="K634" s="17"/>
      <c r="L634" s="54">
        <v>0.1</v>
      </c>
      <c r="M634" s="39"/>
      <c r="N634" s="39"/>
      <c r="O634" s="39"/>
      <c r="P634" s="39"/>
      <c r="Q634" s="39"/>
      <c r="R634" s="39">
        <v>92.71</v>
      </c>
      <c r="S634" s="39"/>
      <c r="T634" s="39"/>
      <c r="U634" s="39"/>
      <c r="V634" s="39"/>
      <c r="W634" s="92" t="s">
        <v>4509</v>
      </c>
    </row>
    <row r="635" spans="1:23" s="79" customFormat="1" ht="38.25" x14ac:dyDescent="0.2">
      <c r="A635" s="1" t="s">
        <v>182</v>
      </c>
      <c r="B635" s="2" t="s">
        <v>29</v>
      </c>
      <c r="C635" s="2" t="s">
        <v>183</v>
      </c>
      <c r="D635" s="2" t="s">
        <v>184</v>
      </c>
      <c r="E635" s="2">
        <v>2023</v>
      </c>
      <c r="F635" s="2" t="s">
        <v>211</v>
      </c>
      <c r="G635" s="2" t="s">
        <v>3095</v>
      </c>
      <c r="H635" s="2" t="s">
        <v>3092</v>
      </c>
      <c r="I635" s="1" t="s">
        <v>14</v>
      </c>
      <c r="J635" s="1" t="s">
        <v>5045</v>
      </c>
      <c r="K635" s="17"/>
      <c r="L635" s="54">
        <v>0.10100000000000001</v>
      </c>
      <c r="M635" s="39"/>
      <c r="N635" s="39"/>
      <c r="O635" s="39"/>
      <c r="P635" s="39"/>
      <c r="Q635" s="39"/>
      <c r="R635" s="39">
        <v>43.72</v>
      </c>
      <c r="S635" s="39"/>
      <c r="T635" s="39"/>
      <c r="U635" s="39"/>
      <c r="V635" s="39"/>
      <c r="W635" s="92" t="s">
        <v>4509</v>
      </c>
    </row>
    <row r="636" spans="1:23" s="79" customFormat="1" ht="25.5" x14ac:dyDescent="0.2">
      <c r="A636" s="1" t="s">
        <v>182</v>
      </c>
      <c r="B636" s="2" t="s">
        <v>29</v>
      </c>
      <c r="C636" s="2" t="s">
        <v>183</v>
      </c>
      <c r="D636" s="2" t="s">
        <v>184</v>
      </c>
      <c r="E636" s="2">
        <v>2023</v>
      </c>
      <c r="F636" s="2" t="s">
        <v>221</v>
      </c>
      <c r="G636" s="2" t="s">
        <v>3095</v>
      </c>
      <c r="H636" s="2" t="s">
        <v>3092</v>
      </c>
      <c r="I636" s="1" t="s">
        <v>14</v>
      </c>
      <c r="J636" s="1" t="s">
        <v>5046</v>
      </c>
      <c r="K636" s="17"/>
      <c r="L636" s="54">
        <v>0.10199999999999999</v>
      </c>
      <c r="M636" s="39"/>
      <c r="N636" s="39"/>
      <c r="O636" s="39"/>
      <c r="P636" s="39"/>
      <c r="Q636" s="39"/>
      <c r="R636" s="39">
        <v>80.16</v>
      </c>
      <c r="S636" s="39"/>
      <c r="T636" s="39"/>
      <c r="U636" s="39"/>
      <c r="V636" s="39"/>
      <c r="W636" s="92" t="s">
        <v>4509</v>
      </c>
    </row>
    <row r="637" spans="1:23" s="79" customFormat="1" ht="25.5" x14ac:dyDescent="0.2">
      <c r="A637" s="1" t="s">
        <v>182</v>
      </c>
      <c r="B637" s="2" t="s">
        <v>29</v>
      </c>
      <c r="C637" s="2" t="s">
        <v>183</v>
      </c>
      <c r="D637" s="2" t="s">
        <v>184</v>
      </c>
      <c r="E637" s="2">
        <v>2023</v>
      </c>
      <c r="F637" s="2" t="s">
        <v>256</v>
      </c>
      <c r="G637" s="2" t="s">
        <v>3095</v>
      </c>
      <c r="H637" s="2" t="s">
        <v>3092</v>
      </c>
      <c r="I637" s="1" t="s">
        <v>14</v>
      </c>
      <c r="J637" s="1" t="s">
        <v>5047</v>
      </c>
      <c r="K637" s="17"/>
      <c r="L637" s="54">
        <v>0.12</v>
      </c>
      <c r="M637" s="39"/>
      <c r="N637" s="39"/>
      <c r="O637" s="39"/>
      <c r="P637" s="39"/>
      <c r="Q637" s="39"/>
      <c r="R637" s="39">
        <v>93.5</v>
      </c>
      <c r="S637" s="39"/>
      <c r="T637" s="39"/>
      <c r="U637" s="39"/>
      <c r="V637" s="39"/>
      <c r="W637" s="92" t="s">
        <v>4509</v>
      </c>
    </row>
    <row r="638" spans="1:23" s="79" customFormat="1" ht="25.5" x14ac:dyDescent="0.2">
      <c r="A638" s="1" t="s">
        <v>182</v>
      </c>
      <c r="B638" s="2" t="s">
        <v>29</v>
      </c>
      <c r="C638" s="2" t="s">
        <v>183</v>
      </c>
      <c r="D638" s="2" t="s">
        <v>184</v>
      </c>
      <c r="E638" s="2">
        <v>2023</v>
      </c>
      <c r="F638" s="2" t="s">
        <v>276</v>
      </c>
      <c r="G638" s="2" t="s">
        <v>3095</v>
      </c>
      <c r="H638" s="2" t="s">
        <v>3092</v>
      </c>
      <c r="I638" s="1" t="s">
        <v>14</v>
      </c>
      <c r="J638" s="1" t="s">
        <v>5048</v>
      </c>
      <c r="K638" s="17"/>
      <c r="L638" s="54">
        <v>0.108</v>
      </c>
      <c r="M638" s="39"/>
      <c r="N638" s="39"/>
      <c r="O638" s="39"/>
      <c r="P638" s="39"/>
      <c r="Q638" s="39"/>
      <c r="R638" s="39">
        <v>42.7</v>
      </c>
      <c r="S638" s="39"/>
      <c r="T638" s="14"/>
      <c r="U638" s="39"/>
      <c r="V638" s="39"/>
      <c r="W638" s="92" t="s">
        <v>4509</v>
      </c>
    </row>
    <row r="639" spans="1:23" s="79" customFormat="1" ht="25.5" x14ac:dyDescent="0.2">
      <c r="A639" s="1" t="s">
        <v>182</v>
      </c>
      <c r="B639" s="2" t="s">
        <v>29</v>
      </c>
      <c r="C639" s="2" t="s">
        <v>183</v>
      </c>
      <c r="D639" s="2" t="s">
        <v>184</v>
      </c>
      <c r="E639" s="2">
        <v>2023</v>
      </c>
      <c r="F639" s="2" t="s">
        <v>291</v>
      </c>
      <c r="G639" s="2" t="s">
        <v>3095</v>
      </c>
      <c r="H639" s="2" t="s">
        <v>3092</v>
      </c>
      <c r="I639" s="1" t="s">
        <v>14</v>
      </c>
      <c r="J639" s="1" t="s">
        <v>5049</v>
      </c>
      <c r="K639" s="17"/>
      <c r="L639" s="54">
        <v>0.1</v>
      </c>
      <c r="M639" s="39"/>
      <c r="N639" s="39"/>
      <c r="O639" s="39"/>
      <c r="P639" s="39"/>
      <c r="Q639" s="39"/>
      <c r="R639" s="39">
        <v>58.57</v>
      </c>
      <c r="S639" s="39"/>
      <c r="T639" s="39"/>
      <c r="U639" s="39"/>
      <c r="V639" s="39"/>
      <c r="W639" s="92" t="s">
        <v>4509</v>
      </c>
    </row>
    <row r="640" spans="1:23" s="79" customFormat="1" ht="38.25" x14ac:dyDescent="0.2">
      <c r="A640" s="1" t="s">
        <v>182</v>
      </c>
      <c r="B640" s="2" t="s">
        <v>29</v>
      </c>
      <c r="C640" s="2" t="s">
        <v>183</v>
      </c>
      <c r="D640" s="2" t="s">
        <v>184</v>
      </c>
      <c r="E640" s="2">
        <v>2023</v>
      </c>
      <c r="F640" s="2" t="s">
        <v>311</v>
      </c>
      <c r="G640" s="2" t="s">
        <v>3095</v>
      </c>
      <c r="H640" s="2" t="s">
        <v>3092</v>
      </c>
      <c r="I640" s="1" t="s">
        <v>14</v>
      </c>
      <c r="J640" s="1" t="s">
        <v>5050</v>
      </c>
      <c r="K640" s="17"/>
      <c r="L640" s="54">
        <v>0.10100000000000001</v>
      </c>
      <c r="M640" s="39"/>
      <c r="N640" s="39"/>
      <c r="O640" s="39"/>
      <c r="P640" s="39"/>
      <c r="Q640" s="39"/>
      <c r="R640" s="39">
        <v>15.2</v>
      </c>
      <c r="S640" s="39"/>
      <c r="T640" s="39"/>
      <c r="U640" s="39"/>
      <c r="V640" s="39"/>
      <c r="W640" s="92" t="s">
        <v>4509</v>
      </c>
    </row>
    <row r="641" spans="1:23" s="79" customFormat="1" ht="25.5" x14ac:dyDescent="0.2">
      <c r="A641" s="1" t="s">
        <v>182</v>
      </c>
      <c r="B641" s="2" t="s">
        <v>29</v>
      </c>
      <c r="C641" s="2" t="s">
        <v>183</v>
      </c>
      <c r="D641" s="2" t="s">
        <v>184</v>
      </c>
      <c r="E641" s="2">
        <v>2023</v>
      </c>
      <c r="F641" s="2" t="s">
        <v>337</v>
      </c>
      <c r="G641" s="2" t="s">
        <v>3095</v>
      </c>
      <c r="H641" s="2" t="s">
        <v>3092</v>
      </c>
      <c r="I641" s="1" t="s">
        <v>14</v>
      </c>
      <c r="J641" s="1" t="s">
        <v>5051</v>
      </c>
      <c r="K641" s="17"/>
      <c r="L641" s="54">
        <v>0.105</v>
      </c>
      <c r="M641" s="39"/>
      <c r="N641" s="39"/>
      <c r="O641" s="39"/>
      <c r="P641" s="39"/>
      <c r="Q641" s="39"/>
      <c r="R641" s="39">
        <v>56.16</v>
      </c>
      <c r="S641" s="39"/>
      <c r="T641" s="39"/>
      <c r="U641" s="39"/>
      <c r="V641" s="39"/>
      <c r="W641" s="92" t="s">
        <v>4509</v>
      </c>
    </row>
    <row r="642" spans="1:23" s="79" customFormat="1" ht="25.5" x14ac:dyDescent="0.2">
      <c r="A642" s="1" t="s">
        <v>182</v>
      </c>
      <c r="B642" s="2" t="s">
        <v>29</v>
      </c>
      <c r="C642" s="2" t="s">
        <v>183</v>
      </c>
      <c r="D642" s="2" t="s">
        <v>184</v>
      </c>
      <c r="E642" s="2">
        <v>2023</v>
      </c>
      <c r="F642" s="2" t="s">
        <v>364</v>
      </c>
      <c r="G642" s="2" t="s">
        <v>3095</v>
      </c>
      <c r="H642" s="2" t="s">
        <v>3092</v>
      </c>
      <c r="I642" s="1" t="s">
        <v>14</v>
      </c>
      <c r="J642" s="1" t="s">
        <v>5052</v>
      </c>
      <c r="K642" s="17"/>
      <c r="L642" s="54">
        <v>0.1113</v>
      </c>
      <c r="M642" s="39"/>
      <c r="N642" s="39"/>
      <c r="O642" s="39"/>
      <c r="P642" s="39"/>
      <c r="Q642" s="39"/>
      <c r="R642" s="39">
        <v>62.96</v>
      </c>
      <c r="S642" s="39"/>
      <c r="T642" s="39"/>
      <c r="U642" s="39"/>
      <c r="V642" s="39"/>
      <c r="W642" s="92" t="s">
        <v>4509</v>
      </c>
    </row>
    <row r="643" spans="1:23" s="79" customFormat="1" ht="25.5" x14ac:dyDescent="0.2">
      <c r="A643" s="1" t="s">
        <v>182</v>
      </c>
      <c r="B643" s="2" t="s">
        <v>29</v>
      </c>
      <c r="C643" s="2" t="s">
        <v>183</v>
      </c>
      <c r="D643" s="2" t="s">
        <v>184</v>
      </c>
      <c r="E643" s="2">
        <v>2023</v>
      </c>
      <c r="F643" s="2" t="s">
        <v>388</v>
      </c>
      <c r="G643" s="2" t="s">
        <v>3095</v>
      </c>
      <c r="H643" s="2" t="s">
        <v>3092</v>
      </c>
      <c r="I643" s="1" t="s">
        <v>14</v>
      </c>
      <c r="J643" s="1" t="s">
        <v>5053</v>
      </c>
      <c r="K643" s="17"/>
      <c r="L643" s="54">
        <v>0.114</v>
      </c>
      <c r="M643" s="39"/>
      <c r="N643" s="39"/>
      <c r="O643" s="39"/>
      <c r="P643" s="39"/>
      <c r="Q643" s="39"/>
      <c r="R643" s="39">
        <v>51.07</v>
      </c>
      <c r="S643" s="39"/>
      <c r="T643" s="39"/>
      <c r="U643" s="39"/>
      <c r="V643" s="39"/>
      <c r="W643" s="92" t="s">
        <v>4509</v>
      </c>
    </row>
    <row r="644" spans="1:23" s="79" customFormat="1" ht="178.5" x14ac:dyDescent="0.2">
      <c r="A644" s="1" t="s">
        <v>5054</v>
      </c>
      <c r="B644" s="2" t="s">
        <v>196</v>
      </c>
      <c r="C644" s="2" t="s">
        <v>5055</v>
      </c>
      <c r="D644" s="2" t="s">
        <v>12</v>
      </c>
      <c r="E644" s="2">
        <v>2023</v>
      </c>
      <c r="F644" s="2" t="s">
        <v>337</v>
      </c>
      <c r="G644" s="2" t="s">
        <v>3092</v>
      </c>
      <c r="H644" s="2" t="s">
        <v>3093</v>
      </c>
      <c r="I644" s="1" t="s">
        <v>5056</v>
      </c>
      <c r="J644" s="1" t="s">
        <v>14</v>
      </c>
      <c r="K644" s="17"/>
      <c r="L644" s="54" t="s">
        <v>1670</v>
      </c>
      <c r="M644" s="39"/>
      <c r="N644" s="39"/>
      <c r="O644" s="39"/>
      <c r="P644" s="39"/>
      <c r="Q644" s="39"/>
      <c r="R644" s="39"/>
      <c r="S644" s="39"/>
      <c r="T644" s="39"/>
      <c r="U644" s="39"/>
      <c r="V644" s="39"/>
      <c r="W644" s="92" t="s">
        <v>1683</v>
      </c>
    </row>
    <row r="645" spans="1:23" s="79" customFormat="1" ht="51" x14ac:dyDescent="0.2">
      <c r="A645" s="1" t="s">
        <v>5057</v>
      </c>
      <c r="B645" s="2" t="s">
        <v>196</v>
      </c>
      <c r="C645" s="2" t="s">
        <v>5058</v>
      </c>
      <c r="D645" s="2" t="s">
        <v>2086</v>
      </c>
      <c r="E645" s="2">
        <v>2023</v>
      </c>
      <c r="F645" s="2" t="s">
        <v>337</v>
      </c>
      <c r="G645" s="2" t="s">
        <v>3092</v>
      </c>
      <c r="H645" s="2" t="s">
        <v>3093</v>
      </c>
      <c r="I645" s="1" t="s">
        <v>5059</v>
      </c>
      <c r="J645" s="1" t="s">
        <v>14</v>
      </c>
      <c r="K645" s="17"/>
      <c r="L645" s="80"/>
      <c r="M645" s="15"/>
      <c r="N645" s="15"/>
      <c r="O645" s="15"/>
      <c r="P645" s="15"/>
      <c r="Q645" s="15"/>
      <c r="R645" s="15"/>
      <c r="S645" s="15"/>
      <c r="T645" s="15"/>
      <c r="U645" s="15"/>
      <c r="V645" s="15"/>
      <c r="W645" s="92"/>
    </row>
    <row r="646" spans="1:23" s="79" customFormat="1" ht="216.75" x14ac:dyDescent="0.2">
      <c r="A646" s="1" t="s">
        <v>5057</v>
      </c>
      <c r="B646" s="2" t="s">
        <v>196</v>
      </c>
      <c r="C646" s="2" t="s">
        <v>5058</v>
      </c>
      <c r="D646" s="2" t="s">
        <v>2086</v>
      </c>
      <c r="E646" s="2">
        <v>2023</v>
      </c>
      <c r="F646" s="2" t="s">
        <v>364</v>
      </c>
      <c r="G646" s="2" t="s">
        <v>3092</v>
      </c>
      <c r="H646" s="2" t="s">
        <v>3093</v>
      </c>
      <c r="I646" s="1" t="s">
        <v>5060</v>
      </c>
      <c r="J646" s="1" t="s">
        <v>14</v>
      </c>
      <c r="K646" s="17"/>
      <c r="L646" s="54"/>
      <c r="M646" s="39"/>
      <c r="N646" s="39"/>
      <c r="O646" s="39"/>
      <c r="P646" s="39"/>
      <c r="Q646" s="39"/>
      <c r="R646" s="39"/>
      <c r="S646" s="39"/>
      <c r="T646" s="39"/>
      <c r="U646" s="39"/>
      <c r="V646" s="39"/>
      <c r="W646" s="92" t="s">
        <v>5061</v>
      </c>
    </row>
    <row r="647" spans="1:23" s="79" customFormat="1" ht="89.25" x14ac:dyDescent="0.2">
      <c r="A647" s="1" t="s">
        <v>766</v>
      </c>
      <c r="B647" s="2" t="s">
        <v>295</v>
      </c>
      <c r="C647" s="2" t="s">
        <v>767</v>
      </c>
      <c r="D647" s="2" t="s">
        <v>36</v>
      </c>
      <c r="E647" s="2">
        <v>2023</v>
      </c>
      <c r="F647" s="2" t="s">
        <v>221</v>
      </c>
      <c r="G647" s="2" t="s">
        <v>3092</v>
      </c>
      <c r="H647" s="2" t="s">
        <v>3093</v>
      </c>
      <c r="I647" s="1" t="s">
        <v>5062</v>
      </c>
      <c r="J647" s="1" t="s">
        <v>14</v>
      </c>
      <c r="K647" s="17"/>
      <c r="L647" s="54"/>
      <c r="M647" s="39"/>
      <c r="N647" s="39"/>
      <c r="O647" s="39"/>
      <c r="P647" s="39"/>
      <c r="Q647" s="39"/>
      <c r="R647" s="39"/>
      <c r="S647" s="39"/>
      <c r="T647" s="39"/>
      <c r="U647" s="39"/>
      <c r="V647" s="39"/>
      <c r="W647" s="92" t="s">
        <v>1693</v>
      </c>
    </row>
    <row r="648" spans="1:23" s="79" customFormat="1" ht="63.75" x14ac:dyDescent="0.2">
      <c r="A648" s="1" t="s">
        <v>5063</v>
      </c>
      <c r="B648" s="2" t="s">
        <v>198</v>
      </c>
      <c r="C648" s="2" t="s">
        <v>5064</v>
      </c>
      <c r="D648" s="2" t="s">
        <v>197</v>
      </c>
      <c r="E648" s="2">
        <v>2023</v>
      </c>
      <c r="F648" s="2" t="s">
        <v>337</v>
      </c>
      <c r="G648" s="2" t="s">
        <v>3092</v>
      </c>
      <c r="H648" s="2" t="s">
        <v>3092</v>
      </c>
      <c r="I648" s="1" t="s">
        <v>5065</v>
      </c>
      <c r="J648" s="1" t="s">
        <v>5066</v>
      </c>
      <c r="K648" s="17"/>
      <c r="L648" s="54">
        <v>2.1999999999999999E-2</v>
      </c>
      <c r="M648" s="39"/>
      <c r="N648" s="39"/>
      <c r="O648" s="39">
        <f>35/L648</f>
        <v>1590.909090909091</v>
      </c>
      <c r="P648" s="39"/>
      <c r="Q648" s="39"/>
      <c r="R648" s="39"/>
      <c r="S648" s="39"/>
      <c r="T648" s="39"/>
      <c r="U648" s="39"/>
      <c r="V648" s="39"/>
      <c r="W648" s="92" t="s">
        <v>5067</v>
      </c>
    </row>
    <row r="649" spans="1:23" s="79" customFormat="1" ht="51" x14ac:dyDescent="0.2">
      <c r="A649" s="1" t="s">
        <v>5068</v>
      </c>
      <c r="B649" s="2" t="s">
        <v>196</v>
      </c>
      <c r="C649" s="2" t="s">
        <v>5069</v>
      </c>
      <c r="D649" s="2" t="s">
        <v>346</v>
      </c>
      <c r="E649" s="2">
        <v>2023</v>
      </c>
      <c r="F649" s="2" t="s">
        <v>221</v>
      </c>
      <c r="G649" s="2" t="s">
        <v>3093</v>
      </c>
      <c r="H649" s="2" t="s">
        <v>3092</v>
      </c>
      <c r="I649" s="1" t="s">
        <v>14</v>
      </c>
      <c r="J649" s="1" t="s">
        <v>5070</v>
      </c>
      <c r="K649" s="17"/>
      <c r="L649" s="54"/>
      <c r="M649" s="39"/>
      <c r="N649" s="39"/>
      <c r="O649" s="39"/>
      <c r="P649" s="39"/>
      <c r="Q649" s="39"/>
      <c r="R649" s="39"/>
      <c r="S649" s="39"/>
      <c r="T649" s="39"/>
      <c r="U649" s="39"/>
      <c r="V649" s="39"/>
      <c r="W649" s="92"/>
    </row>
    <row r="650" spans="1:23" s="79" customFormat="1" ht="38.25" x14ac:dyDescent="0.2">
      <c r="A650" s="1" t="s">
        <v>162</v>
      </c>
      <c r="B650" s="2" t="s">
        <v>163</v>
      </c>
      <c r="C650" s="2" t="s">
        <v>164</v>
      </c>
      <c r="D650" s="2" t="s">
        <v>92</v>
      </c>
      <c r="E650" s="2">
        <v>2023</v>
      </c>
      <c r="F650" s="2" t="s">
        <v>13</v>
      </c>
      <c r="G650" s="2" t="s">
        <v>3092</v>
      </c>
      <c r="H650" s="2" t="s">
        <v>3092</v>
      </c>
      <c r="I650" s="1" t="s">
        <v>3843</v>
      </c>
      <c r="J650" s="1" t="s">
        <v>3844</v>
      </c>
      <c r="K650" s="17"/>
      <c r="L650" s="54" t="s">
        <v>1670</v>
      </c>
      <c r="M650" s="39"/>
      <c r="N650" s="39"/>
      <c r="O650" s="39"/>
      <c r="P650" s="39"/>
      <c r="Q650" s="39"/>
      <c r="R650" s="39"/>
      <c r="S650" s="39"/>
      <c r="T650" s="39"/>
      <c r="U650" s="39"/>
      <c r="V650" s="39">
        <f>3000*0.004546</f>
        <v>13.638</v>
      </c>
      <c r="W650" s="92" t="s">
        <v>4527</v>
      </c>
    </row>
    <row r="651" spans="1:23" s="79" customFormat="1" ht="25.5" x14ac:dyDescent="0.2">
      <c r="A651" s="1" t="s">
        <v>162</v>
      </c>
      <c r="B651" s="2" t="s">
        <v>163</v>
      </c>
      <c r="C651" s="2" t="s">
        <v>164</v>
      </c>
      <c r="D651" s="2" t="s">
        <v>92</v>
      </c>
      <c r="E651" s="2">
        <v>2023</v>
      </c>
      <c r="F651" s="2" t="s">
        <v>188</v>
      </c>
      <c r="G651" s="2" t="s">
        <v>3093</v>
      </c>
      <c r="H651" s="2" t="s">
        <v>3092</v>
      </c>
      <c r="I651" s="1" t="s">
        <v>14</v>
      </c>
      <c r="J651" s="1" t="s">
        <v>3844</v>
      </c>
      <c r="K651" s="17"/>
      <c r="L651" s="54"/>
      <c r="M651" s="39"/>
      <c r="N651" s="39"/>
      <c r="O651" s="39"/>
      <c r="P651" s="39"/>
      <c r="Q651" s="39"/>
      <c r="R651" s="39"/>
      <c r="S651" s="39"/>
      <c r="T651" s="39"/>
      <c r="U651" s="39"/>
      <c r="V651" s="39"/>
      <c r="W651" s="92"/>
    </row>
    <row r="652" spans="1:23" s="79" customFormat="1" ht="38.25" x14ac:dyDescent="0.2">
      <c r="A652" s="1" t="s">
        <v>162</v>
      </c>
      <c r="B652" s="2" t="s">
        <v>163</v>
      </c>
      <c r="C652" s="2" t="s">
        <v>164</v>
      </c>
      <c r="D652" s="2" t="s">
        <v>92</v>
      </c>
      <c r="E652" s="2">
        <v>2023</v>
      </c>
      <c r="F652" s="2" t="s">
        <v>211</v>
      </c>
      <c r="G652" s="2" t="s">
        <v>3092</v>
      </c>
      <c r="H652" s="2" t="s">
        <v>3092</v>
      </c>
      <c r="I652" s="1" t="s">
        <v>3843</v>
      </c>
      <c r="J652" s="1" t="s">
        <v>3844</v>
      </c>
      <c r="K652" s="17"/>
      <c r="L652" s="54" t="s">
        <v>1670</v>
      </c>
      <c r="M652" s="39"/>
      <c r="N652" s="39"/>
      <c r="O652" s="39"/>
      <c r="P652" s="39"/>
      <c r="Q652" s="39"/>
      <c r="R652" s="39"/>
      <c r="S652" s="39"/>
      <c r="T652" s="39"/>
      <c r="U652" s="39"/>
      <c r="V652" s="39">
        <f t="shared" ref="V652" si="0">3000*0.004546</f>
        <v>13.638</v>
      </c>
      <c r="W652" s="92" t="s">
        <v>4527</v>
      </c>
    </row>
    <row r="653" spans="1:23" s="79" customFormat="1" ht="25.5" x14ac:dyDescent="0.2">
      <c r="A653" s="1" t="s">
        <v>252</v>
      </c>
      <c r="B653" s="2" t="s">
        <v>48</v>
      </c>
      <c r="C653" s="2" t="s">
        <v>253</v>
      </c>
      <c r="D653" s="2" t="s">
        <v>239</v>
      </c>
      <c r="E653" s="2">
        <v>2023</v>
      </c>
      <c r="F653" s="2" t="s">
        <v>221</v>
      </c>
      <c r="G653" s="2" t="s">
        <v>3095</v>
      </c>
      <c r="H653" s="2" t="s">
        <v>3092</v>
      </c>
      <c r="I653" s="1" t="s">
        <v>14</v>
      </c>
      <c r="J653" s="1" t="s">
        <v>5071</v>
      </c>
      <c r="K653" s="17"/>
      <c r="L653" s="80">
        <v>1.4999999999999999E-2</v>
      </c>
      <c r="M653" s="15"/>
      <c r="N653" s="15"/>
      <c r="O653" s="15">
        <v>355</v>
      </c>
      <c r="P653" s="15"/>
      <c r="Q653" s="15"/>
      <c r="R653" s="15"/>
      <c r="S653" s="15"/>
      <c r="T653" s="15"/>
      <c r="U653" s="15"/>
      <c r="V653" s="15"/>
      <c r="W653" s="92" t="s">
        <v>3925</v>
      </c>
    </row>
    <row r="654" spans="1:23" s="79" customFormat="1" ht="25.5" x14ac:dyDescent="0.2">
      <c r="A654" s="1" t="s">
        <v>252</v>
      </c>
      <c r="B654" s="2" t="s">
        <v>48</v>
      </c>
      <c r="C654" s="2" t="s">
        <v>253</v>
      </c>
      <c r="D654" s="2" t="s">
        <v>239</v>
      </c>
      <c r="E654" s="2">
        <v>2023</v>
      </c>
      <c r="F654" s="2" t="s">
        <v>364</v>
      </c>
      <c r="G654" s="2" t="s">
        <v>3095</v>
      </c>
      <c r="H654" s="2" t="s">
        <v>3092</v>
      </c>
      <c r="I654" s="1" t="s">
        <v>14</v>
      </c>
      <c r="J654" s="1" t="s">
        <v>5072</v>
      </c>
      <c r="K654" s="17"/>
      <c r="L654" s="54">
        <v>0.02</v>
      </c>
      <c r="M654" s="39"/>
      <c r="N654" s="39"/>
      <c r="O654" s="39">
        <v>382</v>
      </c>
      <c r="P654" s="39"/>
      <c r="Q654" s="39"/>
      <c r="R654" s="39"/>
      <c r="S654" s="39"/>
      <c r="T654" s="39"/>
      <c r="U654" s="39"/>
      <c r="V654" s="39"/>
      <c r="W654" s="92"/>
    </row>
    <row r="655" spans="1:23" s="79" customFormat="1" ht="25.5" x14ac:dyDescent="0.2">
      <c r="A655" s="1" t="s">
        <v>9</v>
      </c>
      <c r="B655" s="2" t="s">
        <v>10</v>
      </c>
      <c r="C655" s="2" t="s">
        <v>11</v>
      </c>
      <c r="D655" s="2" t="s">
        <v>12</v>
      </c>
      <c r="E655" s="2">
        <v>2023</v>
      </c>
      <c r="F655" s="2" t="s">
        <v>13</v>
      </c>
      <c r="G655" s="2" t="s">
        <v>3095</v>
      </c>
      <c r="H655" s="2" t="s">
        <v>3092</v>
      </c>
      <c r="I655" s="1" t="s">
        <v>14</v>
      </c>
      <c r="J655" s="1" t="s">
        <v>2593</v>
      </c>
      <c r="K655" s="17"/>
      <c r="L655" s="54"/>
      <c r="M655" s="39"/>
      <c r="N655" s="39"/>
      <c r="O655" s="39"/>
      <c r="P655" s="39"/>
      <c r="Q655" s="39"/>
      <c r="R655" s="39"/>
      <c r="S655" s="39"/>
      <c r="T655" s="39"/>
      <c r="U655" s="39"/>
      <c r="V655" s="39"/>
      <c r="W655" s="92" t="s">
        <v>1735</v>
      </c>
    </row>
    <row r="656" spans="1:23" s="79" customFormat="1" ht="25.5" x14ac:dyDescent="0.2">
      <c r="A656" s="1" t="s">
        <v>9</v>
      </c>
      <c r="B656" s="2" t="s">
        <v>10</v>
      </c>
      <c r="C656" s="2" t="s">
        <v>11</v>
      </c>
      <c r="D656" s="2" t="s">
        <v>12</v>
      </c>
      <c r="E656" s="2">
        <v>2023</v>
      </c>
      <c r="F656" s="2" t="s">
        <v>188</v>
      </c>
      <c r="G656" s="2" t="s">
        <v>3095</v>
      </c>
      <c r="H656" s="2" t="s">
        <v>3092</v>
      </c>
      <c r="I656" s="1" t="s">
        <v>14</v>
      </c>
      <c r="J656" s="1" t="s">
        <v>881</v>
      </c>
      <c r="K656" s="17"/>
      <c r="L656" s="54"/>
      <c r="M656" s="39"/>
      <c r="N656" s="39"/>
      <c r="O656" s="39"/>
      <c r="P656" s="39"/>
      <c r="Q656" s="39"/>
      <c r="R656" s="39"/>
      <c r="S656" s="39"/>
      <c r="T656" s="39"/>
      <c r="U656" s="39"/>
      <c r="V656" s="39"/>
      <c r="W656" s="92" t="s">
        <v>1735</v>
      </c>
    </row>
    <row r="657" spans="1:24" s="79" customFormat="1" ht="25.5" x14ac:dyDescent="0.2">
      <c r="A657" s="1" t="s">
        <v>9</v>
      </c>
      <c r="B657" s="2" t="s">
        <v>10</v>
      </c>
      <c r="C657" s="2" t="s">
        <v>11</v>
      </c>
      <c r="D657" s="2" t="s">
        <v>12</v>
      </c>
      <c r="E657" s="2">
        <v>2023</v>
      </c>
      <c r="F657" s="2" t="s">
        <v>203</v>
      </c>
      <c r="G657" s="2" t="s">
        <v>3095</v>
      </c>
      <c r="H657" s="2" t="s">
        <v>3092</v>
      </c>
      <c r="I657" s="1" t="s">
        <v>14</v>
      </c>
      <c r="J657" s="1" t="s">
        <v>2593</v>
      </c>
      <c r="K657" s="17"/>
      <c r="L657" s="54"/>
      <c r="M657" s="39"/>
      <c r="N657" s="39"/>
      <c r="O657" s="39"/>
      <c r="P657" s="39"/>
      <c r="Q657" s="39"/>
      <c r="R657" s="39"/>
      <c r="S657" s="39"/>
      <c r="T657" s="39"/>
      <c r="U657" s="39"/>
      <c r="V657" s="39"/>
      <c r="W657" s="92" t="s">
        <v>1735</v>
      </c>
    </row>
    <row r="658" spans="1:24" s="79" customFormat="1" ht="25.5" x14ac:dyDescent="0.2">
      <c r="A658" s="1" t="s">
        <v>9</v>
      </c>
      <c r="B658" s="2" t="s">
        <v>10</v>
      </c>
      <c r="C658" s="2" t="s">
        <v>11</v>
      </c>
      <c r="D658" s="2" t="s">
        <v>12</v>
      </c>
      <c r="E658" s="2">
        <v>2023</v>
      </c>
      <c r="F658" s="2" t="s">
        <v>211</v>
      </c>
      <c r="G658" s="2" t="s">
        <v>3095</v>
      </c>
      <c r="H658" s="2" t="s">
        <v>3092</v>
      </c>
      <c r="I658" s="1" t="s">
        <v>14</v>
      </c>
      <c r="J658" s="1" t="s">
        <v>2593</v>
      </c>
      <c r="K658" s="17"/>
      <c r="L658" s="54"/>
      <c r="M658" s="39"/>
      <c r="N658" s="39"/>
      <c r="O658" s="39"/>
      <c r="P658" s="39"/>
      <c r="Q658" s="39"/>
      <c r="R658" s="39"/>
      <c r="S658" s="39"/>
      <c r="T658" s="39"/>
      <c r="U658" s="39"/>
      <c r="V658" s="39"/>
      <c r="W658" s="92" t="s">
        <v>1735</v>
      </c>
    </row>
    <row r="659" spans="1:24" s="79" customFormat="1" ht="25.5" x14ac:dyDescent="0.2">
      <c r="A659" s="1" t="s">
        <v>9</v>
      </c>
      <c r="B659" s="2" t="s">
        <v>10</v>
      </c>
      <c r="C659" s="2" t="s">
        <v>11</v>
      </c>
      <c r="D659" s="2" t="s">
        <v>12</v>
      </c>
      <c r="E659" s="2">
        <v>2023</v>
      </c>
      <c r="F659" s="2" t="s">
        <v>221</v>
      </c>
      <c r="G659" s="2" t="s">
        <v>3095</v>
      </c>
      <c r="H659" s="2" t="s">
        <v>3092</v>
      </c>
      <c r="I659" s="1" t="s">
        <v>14</v>
      </c>
      <c r="J659" s="1" t="s">
        <v>881</v>
      </c>
      <c r="K659" s="17"/>
      <c r="L659" s="54"/>
      <c r="M659" s="39"/>
      <c r="N659" s="39"/>
      <c r="O659" s="39"/>
      <c r="P659" s="39"/>
      <c r="Q659" s="39"/>
      <c r="R659" s="39"/>
      <c r="S659" s="39"/>
      <c r="T659" s="39"/>
      <c r="U659" s="39"/>
      <c r="V659" s="39"/>
      <c r="W659" s="92" t="s">
        <v>1735</v>
      </c>
    </row>
    <row r="660" spans="1:24" s="79" customFormat="1" ht="25.5" x14ac:dyDescent="0.2">
      <c r="A660" s="1" t="s">
        <v>9</v>
      </c>
      <c r="B660" s="2" t="s">
        <v>10</v>
      </c>
      <c r="C660" s="2" t="s">
        <v>11</v>
      </c>
      <c r="D660" s="2" t="s">
        <v>12</v>
      </c>
      <c r="E660" s="2">
        <v>2023</v>
      </c>
      <c r="F660" s="2" t="s">
        <v>256</v>
      </c>
      <c r="G660" s="2" t="s">
        <v>3095</v>
      </c>
      <c r="H660" s="2" t="s">
        <v>3092</v>
      </c>
      <c r="I660" s="1" t="s">
        <v>14</v>
      </c>
      <c r="J660" s="1" t="s">
        <v>2593</v>
      </c>
      <c r="K660" s="17"/>
      <c r="L660" s="54"/>
      <c r="M660" s="39"/>
      <c r="N660" s="39"/>
      <c r="O660" s="39"/>
      <c r="P660" s="39"/>
      <c r="Q660" s="39"/>
      <c r="R660" s="39"/>
      <c r="S660" s="39"/>
      <c r="T660" s="39"/>
      <c r="U660" s="39"/>
      <c r="V660" s="39"/>
      <c r="W660" s="92" t="s">
        <v>1735</v>
      </c>
    </row>
    <row r="661" spans="1:24" s="79" customFormat="1" ht="25.5" x14ac:dyDescent="0.2">
      <c r="A661" s="1" t="s">
        <v>9</v>
      </c>
      <c r="B661" s="2" t="s">
        <v>10</v>
      </c>
      <c r="C661" s="2" t="s">
        <v>11</v>
      </c>
      <c r="D661" s="2" t="s">
        <v>12</v>
      </c>
      <c r="E661" s="2">
        <v>2023</v>
      </c>
      <c r="F661" s="2" t="s">
        <v>276</v>
      </c>
      <c r="G661" s="2" t="s">
        <v>3095</v>
      </c>
      <c r="H661" s="2" t="s">
        <v>3092</v>
      </c>
      <c r="I661" s="1" t="s">
        <v>14</v>
      </c>
      <c r="J661" s="1" t="s">
        <v>204</v>
      </c>
      <c r="K661" s="17"/>
      <c r="L661" s="54"/>
      <c r="M661" s="39"/>
      <c r="N661" s="39"/>
      <c r="O661" s="39"/>
      <c r="P661" s="39"/>
      <c r="Q661" s="39"/>
      <c r="R661" s="39"/>
      <c r="S661" s="39"/>
      <c r="T661" s="39"/>
      <c r="U661" s="39"/>
      <c r="V661" s="39"/>
      <c r="W661" s="92" t="s">
        <v>1735</v>
      </c>
    </row>
    <row r="662" spans="1:24" s="79" customFormat="1" ht="25.5" x14ac:dyDescent="0.2">
      <c r="A662" s="1" t="s">
        <v>9</v>
      </c>
      <c r="B662" s="2" t="s">
        <v>10</v>
      </c>
      <c r="C662" s="2" t="s">
        <v>11</v>
      </c>
      <c r="D662" s="2" t="s">
        <v>12</v>
      </c>
      <c r="E662" s="2">
        <v>2023</v>
      </c>
      <c r="F662" s="2" t="s">
        <v>291</v>
      </c>
      <c r="G662" s="2" t="s">
        <v>3095</v>
      </c>
      <c r="H662" s="2" t="s">
        <v>3092</v>
      </c>
      <c r="I662" s="1" t="s">
        <v>14</v>
      </c>
      <c r="J662" s="1" t="s">
        <v>5073</v>
      </c>
      <c r="K662" s="17"/>
      <c r="L662" s="54"/>
      <c r="M662" s="3"/>
      <c r="N662" s="39"/>
      <c r="O662" s="39"/>
      <c r="P662" s="39"/>
      <c r="Q662" s="39"/>
      <c r="R662" s="39"/>
      <c r="S662" s="39"/>
      <c r="T662" s="39"/>
      <c r="U662" s="39"/>
      <c r="V662" s="3"/>
      <c r="W662" s="92" t="s">
        <v>1735</v>
      </c>
    </row>
    <row r="663" spans="1:24" s="79" customFormat="1" ht="25.5" x14ac:dyDescent="0.2">
      <c r="A663" s="1" t="s">
        <v>9</v>
      </c>
      <c r="B663" s="2" t="s">
        <v>10</v>
      </c>
      <c r="C663" s="2" t="s">
        <v>11</v>
      </c>
      <c r="D663" s="2" t="s">
        <v>12</v>
      </c>
      <c r="E663" s="2">
        <v>2023</v>
      </c>
      <c r="F663" s="2" t="s">
        <v>311</v>
      </c>
      <c r="G663" s="2" t="s">
        <v>3095</v>
      </c>
      <c r="H663" s="2" t="s">
        <v>3092</v>
      </c>
      <c r="I663" s="1" t="s">
        <v>14</v>
      </c>
      <c r="J663" s="1" t="s">
        <v>1046</v>
      </c>
      <c r="K663" s="17"/>
      <c r="L663" s="54"/>
      <c r="M663" s="39"/>
      <c r="N663" s="39"/>
      <c r="O663" s="39"/>
      <c r="P663" s="39"/>
      <c r="Q663" s="39"/>
      <c r="R663" s="39"/>
      <c r="S663" s="39"/>
      <c r="T663" s="39"/>
      <c r="U663" s="39"/>
      <c r="V663" s="39"/>
      <c r="W663" s="92" t="s">
        <v>1735</v>
      </c>
    </row>
    <row r="664" spans="1:24" s="79" customFormat="1" ht="25.5" x14ac:dyDescent="0.2">
      <c r="A664" s="1" t="s">
        <v>9</v>
      </c>
      <c r="B664" s="2" t="s">
        <v>10</v>
      </c>
      <c r="C664" s="2" t="s">
        <v>11</v>
      </c>
      <c r="D664" s="2" t="s">
        <v>12</v>
      </c>
      <c r="E664" s="2">
        <v>2023</v>
      </c>
      <c r="F664" s="2" t="s">
        <v>337</v>
      </c>
      <c r="G664" s="2" t="s">
        <v>3095</v>
      </c>
      <c r="H664" s="2" t="s">
        <v>3092</v>
      </c>
      <c r="I664" s="1" t="s">
        <v>14</v>
      </c>
      <c r="J664" s="1" t="s">
        <v>5074</v>
      </c>
      <c r="K664" s="17"/>
      <c r="L664" s="54"/>
      <c r="M664" s="39"/>
      <c r="N664" s="39"/>
      <c r="O664" s="39"/>
      <c r="P664" s="39"/>
      <c r="Q664" s="39"/>
      <c r="R664" s="39"/>
      <c r="S664" s="39"/>
      <c r="T664" s="39"/>
      <c r="U664" s="39"/>
      <c r="V664" s="39"/>
      <c r="W664" s="92" t="s">
        <v>1735</v>
      </c>
    </row>
    <row r="665" spans="1:24" s="79" customFormat="1" ht="25.5" x14ac:dyDescent="0.2">
      <c r="A665" s="1" t="s">
        <v>9</v>
      </c>
      <c r="B665" s="2" t="s">
        <v>10</v>
      </c>
      <c r="C665" s="2" t="s">
        <v>11</v>
      </c>
      <c r="D665" s="2" t="s">
        <v>12</v>
      </c>
      <c r="E665" s="2">
        <v>2023</v>
      </c>
      <c r="F665" s="2" t="s">
        <v>364</v>
      </c>
      <c r="G665" s="2" t="s">
        <v>3095</v>
      </c>
      <c r="H665" s="2" t="s">
        <v>3092</v>
      </c>
      <c r="I665" s="1" t="s">
        <v>14</v>
      </c>
      <c r="J665" s="1" t="s">
        <v>3852</v>
      </c>
      <c r="K665" s="17"/>
      <c r="L665" s="54"/>
      <c r="M665" s="39"/>
      <c r="N665" s="39"/>
      <c r="O665" s="39"/>
      <c r="P665" s="39"/>
      <c r="Q665" s="39"/>
      <c r="R665" s="39"/>
      <c r="S665" s="39"/>
      <c r="T665" s="39"/>
      <c r="U665" s="39"/>
      <c r="V665" s="39"/>
      <c r="W665" s="92" t="s">
        <v>1735</v>
      </c>
    </row>
    <row r="666" spans="1:24" s="79" customFormat="1" ht="25.5" x14ac:dyDescent="0.2">
      <c r="A666" s="1" t="s">
        <v>9</v>
      </c>
      <c r="B666" s="2" t="s">
        <v>10</v>
      </c>
      <c r="C666" s="2" t="s">
        <v>11</v>
      </c>
      <c r="D666" s="2" t="s">
        <v>12</v>
      </c>
      <c r="E666" s="2">
        <v>2023</v>
      </c>
      <c r="F666" s="2" t="s">
        <v>388</v>
      </c>
      <c r="G666" s="2" t="s">
        <v>3095</v>
      </c>
      <c r="H666" s="2" t="s">
        <v>3092</v>
      </c>
      <c r="I666" s="1" t="s">
        <v>14</v>
      </c>
      <c r="J666" s="1" t="s">
        <v>1046</v>
      </c>
      <c r="K666" s="17"/>
      <c r="L666" s="58"/>
      <c r="M666" s="59"/>
      <c r="N666" s="59"/>
      <c r="O666" s="59"/>
      <c r="P666" s="59"/>
      <c r="Q666" s="59"/>
      <c r="R666" s="59"/>
      <c r="S666" s="59"/>
      <c r="T666" s="59"/>
      <c r="U666" s="59"/>
      <c r="V666" s="59"/>
      <c r="W666" s="92" t="s">
        <v>1735</v>
      </c>
      <c r="X666"/>
    </row>
    <row r="667" spans="1:24" s="79" customFormat="1" ht="25.5" x14ac:dyDescent="0.2">
      <c r="A667" s="1" t="s">
        <v>227</v>
      </c>
      <c r="B667" s="2" t="s">
        <v>228</v>
      </c>
      <c r="C667" s="2" t="s">
        <v>229</v>
      </c>
      <c r="D667" s="2" t="s">
        <v>230</v>
      </c>
      <c r="E667" s="2">
        <v>2023</v>
      </c>
      <c r="F667" s="2" t="s">
        <v>221</v>
      </c>
      <c r="G667" s="2" t="s">
        <v>3092</v>
      </c>
      <c r="H667" s="2" t="s">
        <v>3092</v>
      </c>
      <c r="I667" s="1" t="s">
        <v>5075</v>
      </c>
      <c r="J667" s="1" t="s">
        <v>5076</v>
      </c>
      <c r="K667" s="17"/>
      <c r="L667" s="54"/>
      <c r="M667" s="39"/>
      <c r="N667" s="39"/>
      <c r="O667" s="39"/>
      <c r="P667" s="39"/>
      <c r="Q667" s="39"/>
      <c r="R667" s="39"/>
      <c r="S667" s="39"/>
      <c r="T667" s="39"/>
      <c r="U667" s="39"/>
      <c r="V667" s="39">
        <f>2912.39*0.004546</f>
        <v>13.239724939999999</v>
      </c>
      <c r="W667" s="92" t="s">
        <v>1699</v>
      </c>
    </row>
    <row r="668" spans="1:24" s="79" customFormat="1" ht="25.5" x14ac:dyDescent="0.2">
      <c r="A668" s="1" t="s">
        <v>185</v>
      </c>
      <c r="B668" s="2" t="s">
        <v>38</v>
      </c>
      <c r="C668" s="2" t="s">
        <v>186</v>
      </c>
      <c r="D668" s="2" t="s">
        <v>187</v>
      </c>
      <c r="E668" s="2">
        <v>2023</v>
      </c>
      <c r="F668" s="2" t="s">
        <v>291</v>
      </c>
      <c r="G668" s="2" t="s">
        <v>3095</v>
      </c>
      <c r="H668" s="2" t="s">
        <v>3092</v>
      </c>
      <c r="I668" s="1" t="s">
        <v>14</v>
      </c>
      <c r="J668" s="1" t="s">
        <v>5077</v>
      </c>
      <c r="K668" s="17"/>
      <c r="L668" s="54"/>
      <c r="M668" s="39"/>
      <c r="N668" s="39"/>
      <c r="O668" s="39"/>
      <c r="P668" s="39"/>
      <c r="Q668" s="39"/>
      <c r="R668" s="39"/>
      <c r="S668" s="39"/>
      <c r="T668" s="39"/>
      <c r="U668" s="39"/>
      <c r="V668" s="39"/>
      <c r="W668" s="92" t="s">
        <v>1695</v>
      </c>
    </row>
    <row r="669" spans="1:24" s="79" customFormat="1" ht="25.5" x14ac:dyDescent="0.2">
      <c r="A669" s="1" t="s">
        <v>185</v>
      </c>
      <c r="B669" s="2" t="s">
        <v>38</v>
      </c>
      <c r="C669" s="2" t="s">
        <v>186</v>
      </c>
      <c r="D669" s="2" t="s">
        <v>187</v>
      </c>
      <c r="E669" s="2">
        <v>2023</v>
      </c>
      <c r="F669" s="2" t="s">
        <v>311</v>
      </c>
      <c r="G669" s="2" t="s">
        <v>3095</v>
      </c>
      <c r="H669" s="2" t="s">
        <v>3092</v>
      </c>
      <c r="I669" s="1" t="s">
        <v>14</v>
      </c>
      <c r="J669" s="1" t="s">
        <v>5078</v>
      </c>
      <c r="K669" s="17"/>
      <c r="L669" s="54"/>
      <c r="M669" s="39"/>
      <c r="N669" s="39"/>
      <c r="O669" s="39"/>
      <c r="P669" s="39"/>
      <c r="Q669" s="39"/>
      <c r="R669" s="39"/>
      <c r="S669" s="39"/>
      <c r="T669" s="39"/>
      <c r="U669" s="39"/>
      <c r="V669" s="39"/>
      <c r="W669" s="92" t="s">
        <v>1695</v>
      </c>
    </row>
    <row r="670" spans="1:24" s="79" customFormat="1" ht="38.25" x14ac:dyDescent="0.2">
      <c r="A670" s="1" t="s">
        <v>5079</v>
      </c>
      <c r="B670" s="2" t="s">
        <v>196</v>
      </c>
      <c r="C670" s="2" t="s">
        <v>5080</v>
      </c>
      <c r="D670" s="2" t="s">
        <v>88</v>
      </c>
      <c r="E670" s="2">
        <v>2023</v>
      </c>
      <c r="F670" s="2" t="s">
        <v>256</v>
      </c>
      <c r="G670" s="2" t="s">
        <v>3092</v>
      </c>
      <c r="H670" s="2" t="s">
        <v>3092</v>
      </c>
      <c r="I670" s="1" t="s">
        <v>5081</v>
      </c>
      <c r="J670" s="1" t="s">
        <v>5082</v>
      </c>
      <c r="K670" s="17"/>
      <c r="L670" s="54">
        <v>0.23</v>
      </c>
      <c r="M670" s="39"/>
      <c r="N670" s="39"/>
      <c r="O670" s="39">
        <f>112.38/L670</f>
        <v>488.60869565217388</v>
      </c>
      <c r="P670" s="39"/>
      <c r="Q670" s="39"/>
      <c r="R670" s="39"/>
      <c r="S670" s="39"/>
      <c r="T670" s="39"/>
      <c r="U670" s="39"/>
      <c r="V670" s="39"/>
      <c r="W670" s="92"/>
    </row>
    <row r="671" spans="1:24" s="79" customFormat="1" ht="38.25" x14ac:dyDescent="0.2">
      <c r="A671" s="1" t="s">
        <v>137</v>
      </c>
      <c r="B671" s="2" t="s">
        <v>29</v>
      </c>
      <c r="C671" s="2" t="s">
        <v>138</v>
      </c>
      <c r="D671" s="2" t="s">
        <v>33</v>
      </c>
      <c r="E671" s="2">
        <v>2023</v>
      </c>
      <c r="F671" s="2" t="s">
        <v>13</v>
      </c>
      <c r="G671" s="2" t="s">
        <v>3095</v>
      </c>
      <c r="H671" s="2" t="s">
        <v>3092</v>
      </c>
      <c r="I671" s="1" t="s">
        <v>14</v>
      </c>
      <c r="J671" s="1" t="s">
        <v>5083</v>
      </c>
      <c r="K671" s="17"/>
      <c r="L671" s="53">
        <v>0.19</v>
      </c>
      <c r="M671" s="39"/>
      <c r="N671" s="39"/>
      <c r="O671" s="39">
        <v>21.25</v>
      </c>
      <c r="P671" s="39"/>
      <c r="Q671" s="39"/>
      <c r="R671" s="39"/>
      <c r="S671" s="39"/>
      <c r="T671" s="39"/>
      <c r="U671" s="39"/>
      <c r="V671" s="39"/>
      <c r="W671" s="92"/>
    </row>
    <row r="672" spans="1:24" s="79" customFormat="1" ht="38.25" x14ac:dyDescent="0.2">
      <c r="A672" s="1" t="s">
        <v>137</v>
      </c>
      <c r="B672" s="2" t="s">
        <v>29</v>
      </c>
      <c r="C672" s="2" t="s">
        <v>138</v>
      </c>
      <c r="D672" s="2" t="s">
        <v>33</v>
      </c>
      <c r="E672" s="2">
        <v>2023</v>
      </c>
      <c r="F672" s="2" t="s">
        <v>188</v>
      </c>
      <c r="G672" s="2" t="s">
        <v>3095</v>
      </c>
      <c r="H672" s="2" t="s">
        <v>3092</v>
      </c>
      <c r="I672" s="1" t="s">
        <v>14</v>
      </c>
      <c r="J672" s="1" t="s">
        <v>5084</v>
      </c>
      <c r="K672" s="17"/>
      <c r="L672" s="54">
        <v>0.19500000000000001</v>
      </c>
      <c r="M672" s="39"/>
      <c r="N672" s="39"/>
      <c r="O672" s="39">
        <v>26.25</v>
      </c>
      <c r="P672" s="39"/>
      <c r="Q672" s="39"/>
      <c r="R672" s="39"/>
      <c r="S672" s="39"/>
      <c r="T672" s="39"/>
      <c r="U672" s="39"/>
      <c r="V672" s="39"/>
      <c r="W672" s="92"/>
    </row>
    <row r="673" spans="1:23" s="79" customFormat="1" ht="38.25" x14ac:dyDescent="0.2">
      <c r="A673" s="1" t="s">
        <v>137</v>
      </c>
      <c r="B673" s="2" t="s">
        <v>29</v>
      </c>
      <c r="C673" s="2" t="s">
        <v>138</v>
      </c>
      <c r="D673" s="2" t="s">
        <v>33</v>
      </c>
      <c r="E673" s="2">
        <v>2023</v>
      </c>
      <c r="F673" s="2" t="s">
        <v>203</v>
      </c>
      <c r="G673" s="2" t="s">
        <v>3095</v>
      </c>
      <c r="H673" s="2" t="s">
        <v>3092</v>
      </c>
      <c r="I673" s="1" t="s">
        <v>14</v>
      </c>
      <c r="J673" s="1" t="s">
        <v>5085</v>
      </c>
      <c r="K673" s="17"/>
      <c r="L673" s="54">
        <v>0.186</v>
      </c>
      <c r="M673" s="39"/>
      <c r="N673" s="39"/>
      <c r="O673" s="39">
        <v>9.2200000000000006</v>
      </c>
      <c r="P673" s="39"/>
      <c r="Q673" s="39"/>
      <c r="R673" s="39"/>
      <c r="S673" s="39"/>
      <c r="T673" s="39"/>
      <c r="U673" s="39"/>
      <c r="V673" s="39"/>
      <c r="W673" s="92"/>
    </row>
    <row r="674" spans="1:23" s="79" customFormat="1" ht="38.25" x14ac:dyDescent="0.2">
      <c r="A674" s="1" t="s">
        <v>137</v>
      </c>
      <c r="B674" s="2" t="s">
        <v>29</v>
      </c>
      <c r="C674" s="2" t="s">
        <v>138</v>
      </c>
      <c r="D674" s="2" t="s">
        <v>33</v>
      </c>
      <c r="E674" s="2">
        <v>2023</v>
      </c>
      <c r="F674" s="2" t="s">
        <v>211</v>
      </c>
      <c r="G674" s="2" t="s">
        <v>3095</v>
      </c>
      <c r="H674" s="2" t="s">
        <v>3092</v>
      </c>
      <c r="I674" s="1" t="s">
        <v>14</v>
      </c>
      <c r="J674" s="1" t="s">
        <v>5086</v>
      </c>
      <c r="K674" s="17"/>
      <c r="L674" s="54">
        <v>0.20899999999999999</v>
      </c>
      <c r="M674" s="39"/>
      <c r="N674" s="39"/>
      <c r="O674" s="39">
        <v>68.5</v>
      </c>
      <c r="P674" s="39"/>
      <c r="Q674" s="39"/>
      <c r="R674" s="39"/>
      <c r="S674" s="39"/>
      <c r="T674" s="39"/>
      <c r="U674" s="39"/>
      <c r="V674" s="39"/>
      <c r="W674" s="92"/>
    </row>
    <row r="675" spans="1:23" s="79" customFormat="1" ht="51" x14ac:dyDescent="0.2">
      <c r="A675" s="1" t="s">
        <v>137</v>
      </c>
      <c r="B675" s="2" t="s">
        <v>29</v>
      </c>
      <c r="C675" s="2" t="s">
        <v>138</v>
      </c>
      <c r="D675" s="2" t="s">
        <v>33</v>
      </c>
      <c r="E675" s="2">
        <v>2023</v>
      </c>
      <c r="F675" s="2" t="s">
        <v>221</v>
      </c>
      <c r="G675" s="2" t="s">
        <v>3095</v>
      </c>
      <c r="H675" s="2" t="s">
        <v>3092</v>
      </c>
      <c r="I675" s="1" t="s">
        <v>14</v>
      </c>
      <c r="J675" s="1" t="s">
        <v>5087</v>
      </c>
      <c r="K675" s="17"/>
      <c r="L675" s="54">
        <v>0.29499999999999998</v>
      </c>
      <c r="M675" s="39"/>
      <c r="N675" s="39"/>
      <c r="O675" s="39">
        <v>143.81</v>
      </c>
      <c r="P675" s="39"/>
      <c r="Q675" s="39"/>
      <c r="R675" s="39"/>
      <c r="S675" s="39"/>
      <c r="T675" s="39"/>
      <c r="U675" s="39"/>
      <c r="V675" s="39"/>
      <c r="W675" s="92"/>
    </row>
    <row r="676" spans="1:23" s="79" customFormat="1" ht="38.25" x14ac:dyDescent="0.2">
      <c r="A676" s="1" t="s">
        <v>137</v>
      </c>
      <c r="B676" s="2" t="s">
        <v>29</v>
      </c>
      <c r="C676" s="2" t="s">
        <v>138</v>
      </c>
      <c r="D676" s="2" t="s">
        <v>33</v>
      </c>
      <c r="E676" s="2">
        <v>2023</v>
      </c>
      <c r="F676" s="2" t="s">
        <v>256</v>
      </c>
      <c r="G676" s="2" t="s">
        <v>3095</v>
      </c>
      <c r="H676" s="2" t="s">
        <v>3092</v>
      </c>
      <c r="I676" s="1" t="s">
        <v>14</v>
      </c>
      <c r="J676" s="1" t="s">
        <v>5088</v>
      </c>
      <c r="K676" s="17"/>
      <c r="L676" s="54">
        <v>0.33100000000000002</v>
      </c>
      <c r="M676" s="39"/>
      <c r="N676" s="39"/>
      <c r="O676" s="39">
        <v>117</v>
      </c>
      <c r="P676" s="39"/>
      <c r="Q676" s="39"/>
      <c r="R676" s="39"/>
      <c r="S676" s="39"/>
      <c r="T676" s="39"/>
      <c r="U676" s="39"/>
      <c r="V676" s="39"/>
      <c r="W676" s="92"/>
    </row>
    <row r="677" spans="1:23" s="79" customFormat="1" ht="38.25" x14ac:dyDescent="0.2">
      <c r="A677" s="1" t="s">
        <v>137</v>
      </c>
      <c r="B677" s="2" t="s">
        <v>29</v>
      </c>
      <c r="C677" s="2" t="s">
        <v>138</v>
      </c>
      <c r="D677" s="2" t="s">
        <v>33</v>
      </c>
      <c r="E677" s="2">
        <v>2023</v>
      </c>
      <c r="F677" s="2" t="s">
        <v>276</v>
      </c>
      <c r="G677" s="2" t="s">
        <v>3095</v>
      </c>
      <c r="H677" s="2" t="s">
        <v>3092</v>
      </c>
      <c r="I677" s="1" t="s">
        <v>14</v>
      </c>
      <c r="J677" s="1" t="s">
        <v>5089</v>
      </c>
      <c r="K677" s="17"/>
      <c r="L677" s="54">
        <v>0.24099999999999999</v>
      </c>
      <c r="M677" s="39"/>
      <c r="N677" s="39"/>
      <c r="O677" s="39">
        <v>106.98</v>
      </c>
      <c r="P677" s="39"/>
      <c r="Q677" s="39"/>
      <c r="R677" s="39"/>
      <c r="S677" s="39"/>
      <c r="T677" s="39"/>
      <c r="U677" s="39"/>
      <c r="V677" s="39"/>
      <c r="W677" s="92"/>
    </row>
    <row r="678" spans="1:23" s="79" customFormat="1" ht="38.25" x14ac:dyDescent="0.2">
      <c r="A678" s="1" t="s">
        <v>137</v>
      </c>
      <c r="B678" s="2" t="s">
        <v>29</v>
      </c>
      <c r="C678" s="2" t="s">
        <v>138</v>
      </c>
      <c r="D678" s="2" t="s">
        <v>33</v>
      </c>
      <c r="E678" s="2">
        <v>2023</v>
      </c>
      <c r="F678" s="2" t="s">
        <v>291</v>
      </c>
      <c r="G678" s="2" t="s">
        <v>3095</v>
      </c>
      <c r="H678" s="2" t="s">
        <v>3092</v>
      </c>
      <c r="I678" s="1" t="s">
        <v>14</v>
      </c>
      <c r="J678" s="1" t="s">
        <v>5090</v>
      </c>
      <c r="K678" s="17"/>
      <c r="L678" s="54">
        <v>0.29199999999999998</v>
      </c>
      <c r="M678" s="39"/>
      <c r="N678" s="39"/>
      <c r="O678" s="39">
        <v>138.71</v>
      </c>
      <c r="P678" s="39"/>
      <c r="Q678" s="39"/>
      <c r="R678" s="39"/>
      <c r="S678" s="39"/>
      <c r="T678" s="39"/>
      <c r="U678" s="39"/>
      <c r="V678" s="39"/>
      <c r="W678" s="92"/>
    </row>
    <row r="679" spans="1:23" s="79" customFormat="1" ht="38.25" x14ac:dyDescent="0.2">
      <c r="A679" s="1" t="s">
        <v>137</v>
      </c>
      <c r="B679" s="2" t="s">
        <v>29</v>
      </c>
      <c r="C679" s="2" t="s">
        <v>138</v>
      </c>
      <c r="D679" s="2" t="s">
        <v>33</v>
      </c>
      <c r="E679" s="2">
        <v>2023</v>
      </c>
      <c r="F679" s="2" t="s">
        <v>311</v>
      </c>
      <c r="G679" s="2" t="s">
        <v>3095</v>
      </c>
      <c r="H679" s="2" t="s">
        <v>3092</v>
      </c>
      <c r="I679" s="1" t="s">
        <v>14</v>
      </c>
      <c r="J679" s="1" t="s">
        <v>5091</v>
      </c>
      <c r="K679" s="17"/>
      <c r="L679" s="54">
        <v>0.315</v>
      </c>
      <c r="M679" s="39"/>
      <c r="N679" s="39"/>
      <c r="O679" s="39">
        <v>117.3</v>
      </c>
      <c r="P679" s="39"/>
      <c r="Q679" s="39"/>
      <c r="R679" s="39"/>
      <c r="S679" s="39"/>
      <c r="T679" s="39"/>
      <c r="U679" s="39"/>
      <c r="V679" s="39"/>
      <c r="W679" s="92"/>
    </row>
    <row r="680" spans="1:23" s="79" customFormat="1" ht="38.25" x14ac:dyDescent="0.2">
      <c r="A680" s="1" t="s">
        <v>137</v>
      </c>
      <c r="B680" s="2" t="s">
        <v>29</v>
      </c>
      <c r="C680" s="2" t="s">
        <v>138</v>
      </c>
      <c r="D680" s="2" t="s">
        <v>33</v>
      </c>
      <c r="E680" s="2">
        <v>2023</v>
      </c>
      <c r="F680" s="2" t="s">
        <v>337</v>
      </c>
      <c r="G680" s="2" t="s">
        <v>3095</v>
      </c>
      <c r="H680" s="2" t="s">
        <v>3092</v>
      </c>
      <c r="I680" s="1" t="s">
        <v>14</v>
      </c>
      <c r="J680" s="1" t="s">
        <v>5092</v>
      </c>
      <c r="K680" s="17"/>
      <c r="L680" s="54">
        <v>0.28699999999999998</v>
      </c>
      <c r="M680" s="39"/>
      <c r="N680" s="39"/>
      <c r="O680" s="39">
        <v>107.68</v>
      </c>
      <c r="P680" s="39"/>
      <c r="Q680" s="39"/>
      <c r="R680" s="39"/>
      <c r="S680" s="39"/>
      <c r="T680" s="39"/>
      <c r="U680" s="39"/>
      <c r="V680" s="39"/>
      <c r="W680" s="92"/>
    </row>
    <row r="681" spans="1:23" s="79" customFormat="1" ht="38.25" x14ac:dyDescent="0.2">
      <c r="A681" s="1" t="s">
        <v>137</v>
      </c>
      <c r="B681" s="2" t="s">
        <v>29</v>
      </c>
      <c r="C681" s="2" t="s">
        <v>138</v>
      </c>
      <c r="D681" s="2" t="s">
        <v>33</v>
      </c>
      <c r="E681" s="2">
        <v>2023</v>
      </c>
      <c r="F681" s="2" t="s">
        <v>364</v>
      </c>
      <c r="G681" s="2" t="s">
        <v>3095</v>
      </c>
      <c r="H681" s="2" t="s">
        <v>3092</v>
      </c>
      <c r="I681" s="1" t="s">
        <v>14</v>
      </c>
      <c r="J681" s="1" t="s">
        <v>5093</v>
      </c>
      <c r="K681" s="17"/>
      <c r="L681" s="54">
        <v>0.26900000000000002</v>
      </c>
      <c r="M681" s="39"/>
      <c r="N681" s="39"/>
      <c r="O681" s="39">
        <v>40.17</v>
      </c>
      <c r="P681" s="39"/>
      <c r="Q681" s="39"/>
      <c r="R681" s="39"/>
      <c r="S681" s="39"/>
      <c r="T681" s="39"/>
      <c r="U681" s="39"/>
      <c r="V681" s="39"/>
      <c r="W681" s="92"/>
    </row>
    <row r="682" spans="1:23" s="79" customFormat="1" ht="38.25" x14ac:dyDescent="0.2">
      <c r="A682" s="1" t="s">
        <v>137</v>
      </c>
      <c r="B682" s="2" t="s">
        <v>29</v>
      </c>
      <c r="C682" s="2" t="s">
        <v>138</v>
      </c>
      <c r="D682" s="2" t="s">
        <v>33</v>
      </c>
      <c r="E682" s="2">
        <v>2023</v>
      </c>
      <c r="F682" s="2" t="s">
        <v>388</v>
      </c>
      <c r="G682" s="2" t="s">
        <v>3095</v>
      </c>
      <c r="H682" s="2" t="s">
        <v>3092</v>
      </c>
      <c r="I682" s="1" t="s">
        <v>14</v>
      </c>
      <c r="J682" s="1" t="s">
        <v>5094</v>
      </c>
      <c r="K682" s="17"/>
      <c r="L682" s="54">
        <v>0.251</v>
      </c>
      <c r="M682" s="39"/>
      <c r="N682" s="39"/>
      <c r="O682" s="39">
        <v>11.73</v>
      </c>
      <c r="P682" s="39"/>
      <c r="Q682" s="39"/>
      <c r="R682" s="39"/>
      <c r="S682" s="39"/>
      <c r="T682" s="39"/>
      <c r="U682" s="39"/>
      <c r="V682" s="57"/>
      <c r="W682" s="92"/>
    </row>
    <row r="683" spans="1:23" s="79" customFormat="1" ht="63.75" x14ac:dyDescent="0.2">
      <c r="A683" s="1" t="s">
        <v>2629</v>
      </c>
      <c r="B683" s="2" t="s">
        <v>198</v>
      </c>
      <c r="C683" s="2" t="s">
        <v>2630</v>
      </c>
      <c r="D683" s="2" t="s">
        <v>230</v>
      </c>
      <c r="E683" s="2">
        <v>2023</v>
      </c>
      <c r="F683" s="2" t="s">
        <v>337</v>
      </c>
      <c r="G683" s="2" t="s">
        <v>3093</v>
      </c>
      <c r="H683" s="2" t="s">
        <v>3092</v>
      </c>
      <c r="I683" s="1" t="s">
        <v>14</v>
      </c>
      <c r="J683" s="1" t="s">
        <v>5095</v>
      </c>
      <c r="K683" s="17"/>
      <c r="L683" s="54">
        <v>0.20599999999999999</v>
      </c>
      <c r="M683" s="39"/>
      <c r="N683" s="39"/>
      <c r="O683" s="39">
        <v>92.08</v>
      </c>
      <c r="P683" s="39"/>
      <c r="Q683" s="39"/>
      <c r="R683" s="39"/>
      <c r="S683" s="39"/>
      <c r="T683" s="39"/>
      <c r="U683" s="39"/>
      <c r="V683" s="39"/>
      <c r="W683" s="92"/>
    </row>
    <row r="684" spans="1:23" s="79" customFormat="1" ht="25.5" x14ac:dyDescent="0.2">
      <c r="A684" s="1" t="s">
        <v>349</v>
      </c>
      <c r="B684" s="2" t="s">
        <v>271</v>
      </c>
      <c r="C684" s="2" t="s">
        <v>350</v>
      </c>
      <c r="D684" s="2" t="s">
        <v>46</v>
      </c>
      <c r="E684" s="2">
        <v>2023</v>
      </c>
      <c r="F684" s="2" t="s">
        <v>364</v>
      </c>
      <c r="G684" s="2" t="s">
        <v>3092</v>
      </c>
      <c r="H684" s="2" t="s">
        <v>3093</v>
      </c>
      <c r="I684" s="1" t="s">
        <v>5096</v>
      </c>
      <c r="J684" s="1" t="s">
        <v>14</v>
      </c>
      <c r="K684" s="17"/>
      <c r="L684" s="54"/>
      <c r="M684" s="39"/>
      <c r="N684" s="39"/>
      <c r="O684" s="39"/>
      <c r="P684" s="39"/>
      <c r="Q684" s="39"/>
      <c r="R684" s="39"/>
      <c r="S684" s="39"/>
      <c r="T684" s="39"/>
      <c r="U684" s="39"/>
      <c r="V684" s="39"/>
      <c r="W684" s="92" t="s">
        <v>1695</v>
      </c>
    </row>
    <row r="685" spans="1:23" s="79" customFormat="1" ht="25.5" x14ac:dyDescent="0.2">
      <c r="A685" s="1" t="s">
        <v>400</v>
      </c>
      <c r="B685" s="2" t="s">
        <v>32</v>
      </c>
      <c r="C685" s="2" t="s">
        <v>350</v>
      </c>
      <c r="D685" s="2" t="s">
        <v>46</v>
      </c>
      <c r="E685" s="2">
        <v>2023</v>
      </c>
      <c r="F685" s="2" t="s">
        <v>291</v>
      </c>
      <c r="G685" s="2" t="s">
        <v>3095</v>
      </c>
      <c r="H685" s="2" t="s">
        <v>3092</v>
      </c>
      <c r="I685" s="1" t="s">
        <v>14</v>
      </c>
      <c r="J685" s="1" t="s">
        <v>5097</v>
      </c>
      <c r="K685" s="17"/>
      <c r="L685" s="54">
        <v>0.02</v>
      </c>
      <c r="M685" s="39"/>
      <c r="N685" s="39"/>
      <c r="O685" s="39"/>
      <c r="P685" s="39"/>
      <c r="Q685" s="39"/>
      <c r="R685" s="39"/>
      <c r="S685" s="39"/>
      <c r="T685" s="39"/>
      <c r="U685" s="39"/>
      <c r="V685" s="39">
        <v>12</v>
      </c>
      <c r="W685" s="92" t="s">
        <v>3925</v>
      </c>
    </row>
    <row r="686" spans="1:23" s="79" customFormat="1" ht="25.5" x14ac:dyDescent="0.2">
      <c r="A686" s="1" t="s">
        <v>2639</v>
      </c>
      <c r="B686" s="2" t="s">
        <v>222</v>
      </c>
      <c r="C686" s="2" t="s">
        <v>374</v>
      </c>
      <c r="D686" s="2" t="s">
        <v>2640</v>
      </c>
      <c r="E686" s="2">
        <v>2023</v>
      </c>
      <c r="F686" s="2" t="s">
        <v>291</v>
      </c>
      <c r="G686" s="2" t="s">
        <v>3093</v>
      </c>
      <c r="H686" s="2" t="s">
        <v>3092</v>
      </c>
      <c r="I686" s="1" t="s">
        <v>14</v>
      </c>
      <c r="J686" s="1" t="s">
        <v>5098</v>
      </c>
      <c r="K686" s="17"/>
      <c r="L686" s="54" t="s">
        <v>1670</v>
      </c>
      <c r="M686" s="39"/>
      <c r="N686" s="39"/>
      <c r="O686" s="39"/>
      <c r="P686" s="39"/>
      <c r="Q686" s="39"/>
      <c r="R686" s="39"/>
      <c r="S686" s="39">
        <v>13.34</v>
      </c>
      <c r="T686" s="39"/>
      <c r="U686" s="39"/>
      <c r="V686" s="39"/>
      <c r="W686" s="92"/>
    </row>
    <row r="687" spans="1:23" s="79" customFormat="1" ht="38.25" x14ac:dyDescent="0.2">
      <c r="A687" s="1" t="s">
        <v>62</v>
      </c>
      <c r="B687" s="2" t="s">
        <v>38</v>
      </c>
      <c r="C687" s="2" t="s">
        <v>63</v>
      </c>
      <c r="D687" s="2" t="s">
        <v>64</v>
      </c>
      <c r="E687" s="2">
        <v>2023</v>
      </c>
      <c r="F687" s="2" t="s">
        <v>13</v>
      </c>
      <c r="G687" s="2" t="s">
        <v>3095</v>
      </c>
      <c r="H687" s="2" t="s">
        <v>3092</v>
      </c>
      <c r="I687" s="1" t="s">
        <v>14</v>
      </c>
      <c r="J687" s="1" t="s">
        <v>5099</v>
      </c>
      <c r="K687" s="17"/>
      <c r="L687" s="53">
        <v>0.2</v>
      </c>
      <c r="M687" s="39"/>
      <c r="N687" s="39"/>
      <c r="O687" s="39">
        <v>60.97</v>
      </c>
      <c r="P687" s="39"/>
      <c r="Q687" s="39"/>
      <c r="R687" s="39"/>
      <c r="S687" s="39"/>
      <c r="T687" s="39"/>
      <c r="U687" s="39"/>
      <c r="V687" s="39"/>
      <c r="W687" s="92"/>
    </row>
    <row r="688" spans="1:23" s="79" customFormat="1" ht="63.75" x14ac:dyDescent="0.2">
      <c r="A688" s="1" t="s">
        <v>62</v>
      </c>
      <c r="B688" s="2" t="s">
        <v>38</v>
      </c>
      <c r="C688" s="2" t="s">
        <v>63</v>
      </c>
      <c r="D688" s="2" t="s">
        <v>64</v>
      </c>
      <c r="E688" s="2">
        <v>2023</v>
      </c>
      <c r="F688" s="2" t="s">
        <v>188</v>
      </c>
      <c r="G688" s="2" t="s">
        <v>3095</v>
      </c>
      <c r="H688" s="2" t="s">
        <v>3092</v>
      </c>
      <c r="I688" s="1" t="s">
        <v>14</v>
      </c>
      <c r="J688" s="1" t="s">
        <v>5100</v>
      </c>
      <c r="K688" s="17"/>
      <c r="L688" s="54">
        <v>0.2</v>
      </c>
      <c r="M688" s="15"/>
      <c r="N688" s="15"/>
      <c r="O688" s="15">
        <v>57.86</v>
      </c>
      <c r="P688" s="15"/>
      <c r="Q688" s="15"/>
      <c r="R688" s="15"/>
      <c r="S688" s="15"/>
      <c r="T688" s="15"/>
      <c r="U688" s="15"/>
      <c r="V688" s="15"/>
      <c r="W688" s="92"/>
    </row>
    <row r="689" spans="1:23" s="79" customFormat="1" ht="38.25" x14ac:dyDescent="0.2">
      <c r="A689" s="1" t="s">
        <v>62</v>
      </c>
      <c r="B689" s="2" t="s">
        <v>38</v>
      </c>
      <c r="C689" s="2" t="s">
        <v>63</v>
      </c>
      <c r="D689" s="2" t="s">
        <v>64</v>
      </c>
      <c r="E689" s="2">
        <v>2023</v>
      </c>
      <c r="F689" s="2" t="s">
        <v>203</v>
      </c>
      <c r="G689" s="2" t="s">
        <v>3095</v>
      </c>
      <c r="H689" s="2" t="s">
        <v>3092</v>
      </c>
      <c r="I689" s="1" t="s">
        <v>14</v>
      </c>
      <c r="J689" s="1" t="s">
        <v>5101</v>
      </c>
      <c r="K689" s="17"/>
      <c r="L689" s="54">
        <v>0.185</v>
      </c>
      <c r="M689" s="39"/>
      <c r="N689" s="39"/>
      <c r="O689" s="39">
        <v>74.31</v>
      </c>
      <c r="P689" s="39"/>
      <c r="Q689" s="39"/>
      <c r="R689" s="39"/>
      <c r="S689" s="39"/>
      <c r="T689" s="39"/>
      <c r="U689" s="39"/>
      <c r="V689" s="39"/>
      <c r="W689" s="92"/>
    </row>
    <row r="690" spans="1:23" s="79" customFormat="1" ht="38.25" x14ac:dyDescent="0.2">
      <c r="A690" s="1" t="s">
        <v>62</v>
      </c>
      <c r="B690" s="2" t="s">
        <v>38</v>
      </c>
      <c r="C690" s="2" t="s">
        <v>63</v>
      </c>
      <c r="D690" s="2" t="s">
        <v>64</v>
      </c>
      <c r="E690" s="2">
        <v>2023</v>
      </c>
      <c r="F690" s="2" t="s">
        <v>211</v>
      </c>
      <c r="G690" s="2" t="s">
        <v>3095</v>
      </c>
      <c r="H690" s="2" t="s">
        <v>3092</v>
      </c>
      <c r="I690" s="1" t="s">
        <v>14</v>
      </c>
      <c r="J690" s="1" t="s">
        <v>5102</v>
      </c>
      <c r="K690" s="17"/>
      <c r="L690" s="54">
        <v>0.19</v>
      </c>
      <c r="M690" s="39"/>
      <c r="N690" s="39"/>
      <c r="O690" s="39">
        <v>18.54</v>
      </c>
      <c r="P690" s="39"/>
      <c r="Q690" s="39"/>
      <c r="R690" s="39"/>
      <c r="S690" s="39"/>
      <c r="T690" s="39"/>
      <c r="U690" s="39"/>
      <c r="V690" s="39"/>
      <c r="W690" s="92"/>
    </row>
    <row r="691" spans="1:23" s="79" customFormat="1" ht="38.25" x14ac:dyDescent="0.2">
      <c r="A691" s="1" t="s">
        <v>62</v>
      </c>
      <c r="B691" s="2" t="s">
        <v>38</v>
      </c>
      <c r="C691" s="2" t="s">
        <v>63</v>
      </c>
      <c r="D691" s="2" t="s">
        <v>64</v>
      </c>
      <c r="E691" s="2">
        <v>2023</v>
      </c>
      <c r="F691" s="2" t="s">
        <v>221</v>
      </c>
      <c r="G691" s="2" t="s">
        <v>3095</v>
      </c>
      <c r="H691" s="2" t="s">
        <v>3092</v>
      </c>
      <c r="I691" s="1" t="s">
        <v>14</v>
      </c>
      <c r="J691" s="1" t="s">
        <v>5103</v>
      </c>
      <c r="K691" s="17"/>
      <c r="L691" s="54">
        <v>0.17</v>
      </c>
      <c r="M691" s="39"/>
      <c r="N691" s="39"/>
      <c r="O691" s="39">
        <v>80.2</v>
      </c>
      <c r="P691" s="39"/>
      <c r="Q691" s="39"/>
      <c r="R691" s="39"/>
      <c r="S691" s="39"/>
      <c r="T691" s="39"/>
      <c r="U691" s="39"/>
      <c r="V691" s="39"/>
      <c r="W691" s="92"/>
    </row>
    <row r="692" spans="1:23" s="79" customFormat="1" ht="38.25" x14ac:dyDescent="0.2">
      <c r="A692" s="1" t="s">
        <v>62</v>
      </c>
      <c r="B692" s="2" t="s">
        <v>38</v>
      </c>
      <c r="C692" s="2" t="s">
        <v>63</v>
      </c>
      <c r="D692" s="2" t="s">
        <v>64</v>
      </c>
      <c r="E692" s="2">
        <v>2023</v>
      </c>
      <c r="F692" s="2" t="s">
        <v>256</v>
      </c>
      <c r="G692" s="2" t="s">
        <v>3095</v>
      </c>
      <c r="H692" s="2" t="s">
        <v>3092</v>
      </c>
      <c r="I692" s="1" t="s">
        <v>14</v>
      </c>
      <c r="J692" s="1" t="s">
        <v>5104</v>
      </c>
      <c r="K692" s="17"/>
      <c r="L692" s="54">
        <v>0.22</v>
      </c>
      <c r="M692" s="39"/>
      <c r="N692" s="39"/>
      <c r="O692" s="39">
        <v>80.2</v>
      </c>
      <c r="P692" s="39"/>
      <c r="Q692" s="39"/>
      <c r="R692" s="39"/>
      <c r="S692" s="39"/>
      <c r="T692" s="39"/>
      <c r="U692" s="39"/>
      <c r="V692" s="39"/>
      <c r="W692" s="92"/>
    </row>
    <row r="693" spans="1:23" s="79" customFormat="1" ht="38.25" x14ac:dyDescent="0.2">
      <c r="A693" s="1" t="s">
        <v>62</v>
      </c>
      <c r="B693" s="2" t="s">
        <v>38</v>
      </c>
      <c r="C693" s="2" t="s">
        <v>63</v>
      </c>
      <c r="D693" s="2" t="s">
        <v>64</v>
      </c>
      <c r="E693" s="2">
        <v>2023</v>
      </c>
      <c r="F693" s="2" t="s">
        <v>276</v>
      </c>
      <c r="G693" s="2" t="s">
        <v>3095</v>
      </c>
      <c r="H693" s="2" t="s">
        <v>3092</v>
      </c>
      <c r="I693" s="1" t="s">
        <v>14</v>
      </c>
      <c r="J693" s="1" t="s">
        <v>5105</v>
      </c>
      <c r="K693" s="17"/>
      <c r="L693" s="54">
        <v>0.21</v>
      </c>
      <c r="M693" s="39"/>
      <c r="N693" s="39"/>
      <c r="O693" s="39">
        <v>67.7</v>
      </c>
      <c r="P693" s="39"/>
      <c r="Q693" s="39"/>
      <c r="R693" s="39"/>
      <c r="S693" s="39"/>
      <c r="T693" s="39"/>
      <c r="U693" s="39"/>
      <c r="V693" s="39"/>
      <c r="W693" s="92"/>
    </row>
    <row r="694" spans="1:23" s="79" customFormat="1" ht="38.25" x14ac:dyDescent="0.2">
      <c r="A694" s="1" t="s">
        <v>62</v>
      </c>
      <c r="B694" s="2" t="s">
        <v>38</v>
      </c>
      <c r="C694" s="2" t="s">
        <v>63</v>
      </c>
      <c r="D694" s="2" t="s">
        <v>64</v>
      </c>
      <c r="E694" s="2">
        <v>2023</v>
      </c>
      <c r="F694" s="2" t="s">
        <v>291</v>
      </c>
      <c r="G694" s="2" t="s">
        <v>3095</v>
      </c>
      <c r="H694" s="2" t="s">
        <v>3092</v>
      </c>
      <c r="I694" s="1" t="s">
        <v>14</v>
      </c>
      <c r="J694" s="1" t="s">
        <v>5106</v>
      </c>
      <c r="K694" s="17"/>
      <c r="L694" s="54">
        <v>0.19</v>
      </c>
      <c r="M694" s="39"/>
      <c r="N694" s="39"/>
      <c r="O694" s="39">
        <v>64.28</v>
      </c>
      <c r="P694" s="39"/>
      <c r="Q694" s="39"/>
      <c r="R694" s="39"/>
      <c r="S694" s="39"/>
      <c r="T694" s="39"/>
      <c r="U694" s="39"/>
      <c r="V694" s="39"/>
      <c r="W694" s="92"/>
    </row>
    <row r="695" spans="1:23" s="79" customFormat="1" ht="38.25" x14ac:dyDescent="0.2">
      <c r="A695" s="1" t="s">
        <v>62</v>
      </c>
      <c r="B695" s="2" t="s">
        <v>38</v>
      </c>
      <c r="C695" s="2" t="s">
        <v>63</v>
      </c>
      <c r="D695" s="2" t="s">
        <v>64</v>
      </c>
      <c r="E695" s="2">
        <v>2023</v>
      </c>
      <c r="F695" s="2" t="s">
        <v>311</v>
      </c>
      <c r="G695" s="2" t="s">
        <v>3095</v>
      </c>
      <c r="H695" s="2" t="s">
        <v>3092</v>
      </c>
      <c r="I695" s="1" t="s">
        <v>14</v>
      </c>
      <c r="J695" s="1" t="s">
        <v>5107</v>
      </c>
      <c r="K695" s="17"/>
      <c r="L695" s="54">
        <v>0.20699999999999999</v>
      </c>
      <c r="M695" s="39"/>
      <c r="N695" s="39"/>
      <c r="O695" s="39">
        <v>67.5</v>
      </c>
      <c r="P695" s="39"/>
      <c r="Q695" s="39"/>
      <c r="R695" s="39"/>
      <c r="S695" s="39"/>
      <c r="T695" s="39"/>
      <c r="U695" s="39"/>
      <c r="V695" s="39"/>
      <c r="W695" s="92"/>
    </row>
    <row r="696" spans="1:23" s="79" customFormat="1" ht="38.25" x14ac:dyDescent="0.2">
      <c r="A696" s="1" t="s">
        <v>62</v>
      </c>
      <c r="B696" s="2" t="s">
        <v>38</v>
      </c>
      <c r="C696" s="2" t="s">
        <v>63</v>
      </c>
      <c r="D696" s="2" t="s">
        <v>64</v>
      </c>
      <c r="E696" s="2">
        <v>2023</v>
      </c>
      <c r="F696" s="2" t="s">
        <v>337</v>
      </c>
      <c r="G696" s="2" t="s">
        <v>3095</v>
      </c>
      <c r="H696" s="2" t="s">
        <v>3092</v>
      </c>
      <c r="I696" s="1" t="s">
        <v>14</v>
      </c>
      <c r="J696" s="1" t="s">
        <v>5108</v>
      </c>
      <c r="K696" s="17"/>
      <c r="L696" s="54">
        <v>0.19500000000000001</v>
      </c>
      <c r="M696" s="39"/>
      <c r="N696" s="39"/>
      <c r="O696" s="39">
        <v>64.84</v>
      </c>
      <c r="P696" s="39"/>
      <c r="Q696" s="39"/>
      <c r="R696" s="39"/>
      <c r="S696" s="39"/>
      <c r="T696" s="39"/>
      <c r="U696" s="39"/>
      <c r="V696" s="39"/>
      <c r="W696" s="92"/>
    </row>
    <row r="697" spans="1:23" s="79" customFormat="1" ht="38.25" x14ac:dyDescent="0.2">
      <c r="A697" s="1" t="s">
        <v>62</v>
      </c>
      <c r="B697" s="2" t="s">
        <v>38</v>
      </c>
      <c r="C697" s="2" t="s">
        <v>63</v>
      </c>
      <c r="D697" s="2" t="s">
        <v>64</v>
      </c>
      <c r="E697" s="2">
        <v>2023</v>
      </c>
      <c r="F697" s="2" t="s">
        <v>364</v>
      </c>
      <c r="G697" s="2" t="s">
        <v>3095</v>
      </c>
      <c r="H697" s="2" t="s">
        <v>3092</v>
      </c>
      <c r="I697" s="1" t="s">
        <v>14</v>
      </c>
      <c r="J697" s="1" t="s">
        <v>5109</v>
      </c>
      <c r="K697" s="17"/>
      <c r="L697" s="54">
        <v>0.19</v>
      </c>
      <c r="M697" s="39"/>
      <c r="N697" s="39"/>
      <c r="O697" s="39">
        <v>99.215999999999994</v>
      </c>
      <c r="P697" s="39"/>
      <c r="Q697" s="39"/>
      <c r="R697" s="39"/>
      <c r="S697" s="39"/>
      <c r="T697" s="39"/>
      <c r="U697" s="39"/>
      <c r="V697" s="39"/>
      <c r="W697" s="92"/>
    </row>
    <row r="698" spans="1:23" s="79" customFormat="1" ht="38.25" x14ac:dyDescent="0.2">
      <c r="A698" s="1" t="s">
        <v>62</v>
      </c>
      <c r="B698" s="2" t="s">
        <v>38</v>
      </c>
      <c r="C698" s="2" t="s">
        <v>63</v>
      </c>
      <c r="D698" s="2" t="s">
        <v>64</v>
      </c>
      <c r="E698" s="2">
        <v>2023</v>
      </c>
      <c r="F698" s="2" t="s">
        <v>388</v>
      </c>
      <c r="G698" s="2" t="s">
        <v>3095</v>
      </c>
      <c r="H698" s="2" t="s">
        <v>3092</v>
      </c>
      <c r="I698" s="1" t="s">
        <v>14</v>
      </c>
      <c r="J698" s="1" t="s">
        <v>5110</v>
      </c>
      <c r="K698" s="17"/>
      <c r="L698" s="54">
        <v>0.17699999999999999</v>
      </c>
      <c r="M698" s="39"/>
      <c r="N698" s="39"/>
      <c r="O698" s="39">
        <v>63.83</v>
      </c>
      <c r="P698" s="39"/>
      <c r="Q698" s="39"/>
      <c r="R698" s="39"/>
      <c r="S698" s="39"/>
      <c r="T698" s="39"/>
      <c r="U698" s="39"/>
      <c r="V698" s="39"/>
      <c r="W698" s="92"/>
    </row>
    <row r="699" spans="1:23" s="79" customFormat="1" ht="51" x14ac:dyDescent="0.2">
      <c r="A699" s="1" t="s">
        <v>106</v>
      </c>
      <c r="B699" s="2" t="s">
        <v>38</v>
      </c>
      <c r="C699" s="2" t="s">
        <v>107</v>
      </c>
      <c r="D699" s="2" t="s">
        <v>108</v>
      </c>
      <c r="E699" s="2">
        <v>2023</v>
      </c>
      <c r="F699" s="2" t="s">
        <v>13</v>
      </c>
      <c r="G699" s="2" t="s">
        <v>3095</v>
      </c>
      <c r="H699" s="2" t="s">
        <v>3092</v>
      </c>
      <c r="I699" s="1" t="s">
        <v>14</v>
      </c>
      <c r="J699" s="1" t="s">
        <v>5111</v>
      </c>
      <c r="K699" s="17"/>
      <c r="L699" s="54">
        <v>0.247</v>
      </c>
      <c r="M699" s="39"/>
      <c r="N699" s="39"/>
      <c r="O699" s="39">
        <v>72.09</v>
      </c>
      <c r="P699" s="39"/>
      <c r="Q699" s="39"/>
      <c r="R699" s="39"/>
      <c r="S699" s="39"/>
      <c r="T699" s="39"/>
      <c r="U699" s="39"/>
      <c r="V699" s="39"/>
      <c r="W699" s="92"/>
    </row>
    <row r="700" spans="1:23" s="79" customFormat="1" ht="38.25" x14ac:dyDescent="0.2">
      <c r="A700" s="1" t="s">
        <v>106</v>
      </c>
      <c r="B700" s="2" t="s">
        <v>38</v>
      </c>
      <c r="C700" s="2" t="s">
        <v>107</v>
      </c>
      <c r="D700" s="2" t="s">
        <v>108</v>
      </c>
      <c r="E700" s="2">
        <v>2023</v>
      </c>
      <c r="F700" s="2" t="s">
        <v>188</v>
      </c>
      <c r="G700" s="2" t="s">
        <v>3095</v>
      </c>
      <c r="H700" s="2" t="s">
        <v>3092</v>
      </c>
      <c r="I700" s="1" t="s">
        <v>14</v>
      </c>
      <c r="J700" s="1" t="s">
        <v>5112</v>
      </c>
      <c r="K700" s="17"/>
      <c r="L700" s="54">
        <v>0.22700000000000001</v>
      </c>
      <c r="M700" s="39"/>
      <c r="N700" s="39"/>
      <c r="O700" s="39">
        <v>79.38</v>
      </c>
      <c r="P700" s="39"/>
      <c r="Q700" s="39"/>
      <c r="R700" s="39"/>
      <c r="S700" s="39"/>
      <c r="T700" s="39"/>
      <c r="U700" s="39"/>
      <c r="V700" s="39"/>
      <c r="W700" s="92"/>
    </row>
    <row r="701" spans="1:23" s="79" customFormat="1" ht="38.25" x14ac:dyDescent="0.2">
      <c r="A701" s="1" t="s">
        <v>106</v>
      </c>
      <c r="B701" s="2" t="s">
        <v>38</v>
      </c>
      <c r="C701" s="2" t="s">
        <v>107</v>
      </c>
      <c r="D701" s="2" t="s">
        <v>108</v>
      </c>
      <c r="E701" s="2">
        <v>2023</v>
      </c>
      <c r="F701" s="2" t="s">
        <v>203</v>
      </c>
      <c r="G701" s="2" t="s">
        <v>3095</v>
      </c>
      <c r="H701" s="2" t="s">
        <v>3092</v>
      </c>
      <c r="I701" s="1" t="s">
        <v>14</v>
      </c>
      <c r="J701" s="1" t="s">
        <v>5113</v>
      </c>
      <c r="K701" s="17"/>
      <c r="L701" s="54">
        <v>0.24299999999999999</v>
      </c>
      <c r="M701" s="39"/>
      <c r="N701" s="39"/>
      <c r="O701" s="39">
        <v>82.38</v>
      </c>
      <c r="P701" s="39"/>
      <c r="Q701" s="39"/>
      <c r="R701" s="39"/>
      <c r="S701" s="39"/>
      <c r="T701" s="39"/>
      <c r="U701" s="39"/>
      <c r="V701" s="39"/>
      <c r="W701" s="92"/>
    </row>
    <row r="702" spans="1:23" s="79" customFormat="1" ht="38.25" x14ac:dyDescent="0.2">
      <c r="A702" s="1" t="s">
        <v>106</v>
      </c>
      <c r="B702" s="2" t="s">
        <v>38</v>
      </c>
      <c r="C702" s="2" t="s">
        <v>107</v>
      </c>
      <c r="D702" s="2" t="s">
        <v>108</v>
      </c>
      <c r="E702" s="2">
        <v>2023</v>
      </c>
      <c r="F702" s="2" t="s">
        <v>211</v>
      </c>
      <c r="G702" s="2" t="s">
        <v>3095</v>
      </c>
      <c r="H702" s="2" t="s">
        <v>3092</v>
      </c>
      <c r="I702" s="1" t="s">
        <v>14</v>
      </c>
      <c r="J702" s="1" t="s">
        <v>5114</v>
      </c>
      <c r="K702" s="17"/>
      <c r="L702" s="54">
        <v>0.253</v>
      </c>
      <c r="M702" s="39"/>
      <c r="N702" s="39"/>
      <c r="O702" s="39">
        <v>63.9</v>
      </c>
      <c r="P702" s="39"/>
      <c r="Q702" s="39"/>
      <c r="R702" s="39"/>
      <c r="S702" s="39"/>
      <c r="T702" s="39"/>
      <c r="U702" s="39"/>
      <c r="V702" s="39"/>
      <c r="W702" s="92"/>
    </row>
    <row r="703" spans="1:23" s="79" customFormat="1" ht="51" x14ac:dyDescent="0.2">
      <c r="A703" s="1" t="s">
        <v>106</v>
      </c>
      <c r="B703" s="2" t="s">
        <v>38</v>
      </c>
      <c r="C703" s="2" t="s">
        <v>107</v>
      </c>
      <c r="D703" s="2" t="s">
        <v>108</v>
      </c>
      <c r="E703" s="2">
        <v>2023</v>
      </c>
      <c r="F703" s="2" t="s">
        <v>221</v>
      </c>
      <c r="G703" s="2" t="s">
        <v>3095</v>
      </c>
      <c r="H703" s="2" t="s">
        <v>3092</v>
      </c>
      <c r="I703" s="1" t="s">
        <v>14</v>
      </c>
      <c r="J703" s="1" t="s">
        <v>5115</v>
      </c>
      <c r="K703" s="17"/>
      <c r="L703" s="54">
        <v>0.25</v>
      </c>
      <c r="M703" s="39"/>
      <c r="N703" s="39"/>
      <c r="O703" s="39">
        <v>57.85</v>
      </c>
      <c r="P703" s="39"/>
      <c r="Q703" s="39"/>
      <c r="R703" s="39"/>
      <c r="S703" s="39"/>
      <c r="T703" s="39"/>
      <c r="U703" s="39"/>
      <c r="V703" s="39"/>
      <c r="W703" s="92"/>
    </row>
    <row r="704" spans="1:23" s="79" customFormat="1" ht="51" x14ac:dyDescent="0.2">
      <c r="A704" s="1" t="s">
        <v>106</v>
      </c>
      <c r="B704" s="2" t="s">
        <v>38</v>
      </c>
      <c r="C704" s="2" t="s">
        <v>107</v>
      </c>
      <c r="D704" s="2" t="s">
        <v>108</v>
      </c>
      <c r="E704" s="2">
        <v>2023</v>
      </c>
      <c r="F704" s="2" t="s">
        <v>256</v>
      </c>
      <c r="G704" s="2" t="s">
        <v>3095</v>
      </c>
      <c r="H704" s="2" t="s">
        <v>3092</v>
      </c>
      <c r="I704" s="1" t="s">
        <v>14</v>
      </c>
      <c r="J704" s="1" t="s">
        <v>5116</v>
      </c>
      <c r="K704" s="17"/>
      <c r="L704" s="54">
        <v>0.25800000000000001</v>
      </c>
      <c r="M704" s="39"/>
      <c r="N704" s="39"/>
      <c r="O704" s="39">
        <v>73.52</v>
      </c>
      <c r="P704" s="39"/>
      <c r="Q704" s="39"/>
      <c r="R704" s="39"/>
      <c r="S704" s="39"/>
      <c r="T704" s="39"/>
      <c r="U704" s="39"/>
      <c r="V704" s="39"/>
      <c r="W704" s="92"/>
    </row>
    <row r="705" spans="1:23" s="79" customFormat="1" ht="38.25" x14ac:dyDescent="0.2">
      <c r="A705" s="1" t="s">
        <v>106</v>
      </c>
      <c r="B705" s="2" t="s">
        <v>38</v>
      </c>
      <c r="C705" s="2" t="s">
        <v>107</v>
      </c>
      <c r="D705" s="2" t="s">
        <v>108</v>
      </c>
      <c r="E705" s="2">
        <v>2023</v>
      </c>
      <c r="F705" s="2" t="s">
        <v>276</v>
      </c>
      <c r="G705" s="2" t="s">
        <v>3095</v>
      </c>
      <c r="H705" s="2" t="s">
        <v>3092</v>
      </c>
      <c r="I705" s="1" t="s">
        <v>14</v>
      </c>
      <c r="J705" s="1" t="s">
        <v>5117</v>
      </c>
      <c r="K705" s="17"/>
      <c r="L705" s="54">
        <v>0.28199999999999997</v>
      </c>
      <c r="M705" s="39"/>
      <c r="N705" s="39"/>
      <c r="O705" s="39">
        <v>97.16</v>
      </c>
      <c r="P705" s="39"/>
      <c r="Q705" s="39"/>
      <c r="R705" s="39"/>
      <c r="S705" s="39"/>
      <c r="T705" s="39"/>
      <c r="U705" s="39"/>
      <c r="V705" s="39"/>
      <c r="W705" s="92"/>
    </row>
    <row r="706" spans="1:23" s="79" customFormat="1" ht="51" x14ac:dyDescent="0.2">
      <c r="A706" s="1" t="s">
        <v>106</v>
      </c>
      <c r="B706" s="2" t="s">
        <v>38</v>
      </c>
      <c r="C706" s="2" t="s">
        <v>107</v>
      </c>
      <c r="D706" s="2" t="s">
        <v>108</v>
      </c>
      <c r="E706" s="2">
        <v>2023</v>
      </c>
      <c r="F706" s="2" t="s">
        <v>291</v>
      </c>
      <c r="G706" s="2" t="s">
        <v>3095</v>
      </c>
      <c r="H706" s="2" t="s">
        <v>3092</v>
      </c>
      <c r="I706" s="1" t="s">
        <v>14</v>
      </c>
      <c r="J706" s="1" t="s">
        <v>5118</v>
      </c>
      <c r="K706" s="17"/>
      <c r="L706" s="54">
        <v>0.26200000000000001</v>
      </c>
      <c r="M706" s="3"/>
      <c r="N706" s="39"/>
      <c r="O706" s="39">
        <v>92.17</v>
      </c>
      <c r="P706" s="39"/>
      <c r="Q706" s="39"/>
      <c r="R706" s="39"/>
      <c r="S706" s="39"/>
      <c r="T706" s="39"/>
      <c r="U706" s="39"/>
      <c r="V706" s="3"/>
      <c r="W706" s="92"/>
    </row>
    <row r="707" spans="1:23" s="79" customFormat="1" ht="38.25" x14ac:dyDescent="0.2">
      <c r="A707" s="1" t="s">
        <v>106</v>
      </c>
      <c r="B707" s="2" t="s">
        <v>38</v>
      </c>
      <c r="C707" s="2" t="s">
        <v>107</v>
      </c>
      <c r="D707" s="2" t="s">
        <v>108</v>
      </c>
      <c r="E707" s="2">
        <v>2023</v>
      </c>
      <c r="F707" s="2" t="s">
        <v>311</v>
      </c>
      <c r="G707" s="2" t="s">
        <v>3095</v>
      </c>
      <c r="H707" s="2" t="s">
        <v>3092</v>
      </c>
      <c r="I707" s="1" t="s">
        <v>14</v>
      </c>
      <c r="J707" s="1" t="s">
        <v>5119</v>
      </c>
      <c r="K707" s="17"/>
      <c r="L707" s="54">
        <v>0.24099999999999999</v>
      </c>
      <c r="M707" s="39"/>
      <c r="N707" s="39"/>
      <c r="O707" s="39">
        <v>77.28</v>
      </c>
      <c r="P707" s="39"/>
      <c r="Q707" s="39"/>
      <c r="R707" s="39"/>
      <c r="S707" s="39"/>
      <c r="T707" s="39"/>
      <c r="U707" s="39"/>
      <c r="V707" s="39"/>
      <c r="W707" s="92"/>
    </row>
    <row r="708" spans="1:23" s="79" customFormat="1" ht="38.25" x14ac:dyDescent="0.2">
      <c r="A708" s="1" t="s">
        <v>106</v>
      </c>
      <c r="B708" s="2" t="s">
        <v>38</v>
      </c>
      <c r="C708" s="2" t="s">
        <v>107</v>
      </c>
      <c r="D708" s="2" t="s">
        <v>108</v>
      </c>
      <c r="E708" s="2">
        <v>2023</v>
      </c>
      <c r="F708" s="2" t="s">
        <v>337</v>
      </c>
      <c r="G708" s="2" t="s">
        <v>3095</v>
      </c>
      <c r="H708" s="2" t="s">
        <v>3092</v>
      </c>
      <c r="I708" s="1" t="s">
        <v>14</v>
      </c>
      <c r="J708" s="1" t="s">
        <v>5120</v>
      </c>
      <c r="K708" s="17"/>
      <c r="L708" s="54">
        <v>0.22700000000000001</v>
      </c>
      <c r="M708" s="39"/>
      <c r="N708" s="39"/>
      <c r="O708" s="39">
        <v>84.41</v>
      </c>
      <c r="P708" s="39"/>
      <c r="Q708" s="39"/>
      <c r="R708" s="39"/>
      <c r="S708" s="39"/>
      <c r="T708" s="39"/>
      <c r="U708" s="39"/>
      <c r="V708" s="39"/>
      <c r="W708" s="92"/>
    </row>
    <row r="709" spans="1:23" s="79" customFormat="1" ht="51" x14ac:dyDescent="0.2">
      <c r="A709" s="1" t="s">
        <v>106</v>
      </c>
      <c r="B709" s="2" t="s">
        <v>38</v>
      </c>
      <c r="C709" s="2" t="s">
        <v>107</v>
      </c>
      <c r="D709" s="2" t="s">
        <v>108</v>
      </c>
      <c r="E709" s="2">
        <v>2023</v>
      </c>
      <c r="F709" s="2" t="s">
        <v>364</v>
      </c>
      <c r="G709" s="2" t="s">
        <v>3095</v>
      </c>
      <c r="H709" s="2" t="s">
        <v>3092</v>
      </c>
      <c r="I709" s="1" t="s">
        <v>14</v>
      </c>
      <c r="J709" s="1" t="s">
        <v>5121</v>
      </c>
      <c r="K709" s="17"/>
      <c r="L709" s="54">
        <v>0.23499999999999999</v>
      </c>
      <c r="M709" s="39"/>
      <c r="N709" s="39"/>
      <c r="O709" s="39">
        <v>61.71</v>
      </c>
      <c r="P709" s="39"/>
      <c r="Q709" s="39"/>
      <c r="R709" s="39"/>
      <c r="S709" s="39"/>
      <c r="T709" s="39"/>
      <c r="U709" s="39"/>
      <c r="V709" s="39"/>
      <c r="W709" s="92"/>
    </row>
    <row r="710" spans="1:23" s="79" customFormat="1" ht="38.25" x14ac:dyDescent="0.2">
      <c r="A710" s="1" t="s">
        <v>106</v>
      </c>
      <c r="B710" s="2" t="s">
        <v>38</v>
      </c>
      <c r="C710" s="2" t="s">
        <v>107</v>
      </c>
      <c r="D710" s="2" t="s">
        <v>108</v>
      </c>
      <c r="E710" s="2">
        <v>2023</v>
      </c>
      <c r="F710" s="2" t="s">
        <v>388</v>
      </c>
      <c r="G710" s="2" t="s">
        <v>3095</v>
      </c>
      <c r="H710" s="2" t="s">
        <v>3092</v>
      </c>
      <c r="I710" s="1" t="s">
        <v>14</v>
      </c>
      <c r="J710" s="1" t="s">
        <v>5122</v>
      </c>
      <c r="K710" s="17"/>
      <c r="L710" s="54">
        <v>0.26600000000000001</v>
      </c>
      <c r="M710" s="39"/>
      <c r="N710" s="39"/>
      <c r="O710" s="39">
        <v>74.38</v>
      </c>
      <c r="P710" s="39"/>
      <c r="Q710" s="39"/>
      <c r="R710" s="39"/>
      <c r="S710" s="39"/>
      <c r="T710" s="39"/>
      <c r="U710" s="39"/>
      <c r="V710" s="39"/>
      <c r="W710" s="92"/>
    </row>
    <row r="711" spans="1:23" s="79" customFormat="1" ht="114.75" x14ac:dyDescent="0.2">
      <c r="A711" s="1" t="s">
        <v>2667</v>
      </c>
      <c r="B711" s="2" t="s">
        <v>196</v>
      </c>
      <c r="C711" s="2" t="s">
        <v>2668</v>
      </c>
      <c r="D711" s="2" t="s">
        <v>268</v>
      </c>
      <c r="E711" s="2">
        <v>2023</v>
      </c>
      <c r="F711" s="2" t="s">
        <v>276</v>
      </c>
      <c r="G711" s="2" t="s">
        <v>3093</v>
      </c>
      <c r="H711" s="2" t="s">
        <v>3092</v>
      </c>
      <c r="I711" s="1" t="s">
        <v>14</v>
      </c>
      <c r="J711" s="1" t="s">
        <v>5123</v>
      </c>
      <c r="K711" s="17"/>
      <c r="L711" s="54">
        <v>0.3135</v>
      </c>
      <c r="M711" s="39"/>
      <c r="N711" s="39"/>
      <c r="O711" s="39">
        <v>434.49</v>
      </c>
      <c r="P711" s="39"/>
      <c r="Q711" s="39"/>
      <c r="R711" s="39"/>
      <c r="S711" s="39"/>
      <c r="T711" s="39"/>
      <c r="U711" s="39"/>
      <c r="V711" s="39"/>
      <c r="W711" s="92"/>
    </row>
    <row r="712" spans="1:23" s="79" customFormat="1" ht="76.5" x14ac:dyDescent="0.2">
      <c r="A712" s="1" t="s">
        <v>292</v>
      </c>
      <c r="B712" s="2" t="s">
        <v>262</v>
      </c>
      <c r="C712" s="2" t="s">
        <v>293</v>
      </c>
      <c r="D712" s="2" t="s">
        <v>173</v>
      </c>
      <c r="E712" s="2">
        <v>2023</v>
      </c>
      <c r="F712" s="2" t="s">
        <v>221</v>
      </c>
      <c r="G712" s="2" t="s">
        <v>3092</v>
      </c>
      <c r="H712" s="2" t="s">
        <v>3092</v>
      </c>
      <c r="I712" s="1" t="s">
        <v>5124</v>
      </c>
      <c r="J712" s="1" t="s">
        <v>5125</v>
      </c>
      <c r="K712" s="17"/>
      <c r="L712" s="54">
        <v>0.03</v>
      </c>
      <c r="M712" s="39">
        <v>32</v>
      </c>
      <c r="N712" s="39"/>
      <c r="O712" s="39"/>
      <c r="P712" s="39"/>
      <c r="Q712" s="39"/>
      <c r="R712" s="39"/>
      <c r="S712" s="39"/>
      <c r="T712" s="39"/>
      <c r="U712" s="39"/>
      <c r="V712" s="39"/>
      <c r="W712" s="92" t="s">
        <v>3915</v>
      </c>
    </row>
    <row r="713" spans="1:23" s="79" customFormat="1" ht="63.75" x14ac:dyDescent="0.2">
      <c r="A713" s="1" t="s">
        <v>292</v>
      </c>
      <c r="B713" s="2" t="s">
        <v>262</v>
      </c>
      <c r="C713" s="2" t="s">
        <v>293</v>
      </c>
      <c r="D713" s="2" t="s">
        <v>173</v>
      </c>
      <c r="E713" s="2">
        <v>2023</v>
      </c>
      <c r="F713" s="2" t="s">
        <v>364</v>
      </c>
      <c r="G713" s="2" t="s">
        <v>3092</v>
      </c>
      <c r="H713" s="2" t="s">
        <v>3092</v>
      </c>
      <c r="I713" s="1" t="s">
        <v>5126</v>
      </c>
      <c r="J713" s="1" t="s">
        <v>5127</v>
      </c>
      <c r="K713" s="17"/>
      <c r="L713" s="54">
        <v>0.03</v>
      </c>
      <c r="M713" s="39">
        <v>25.26</v>
      </c>
      <c r="N713" s="39"/>
      <c r="O713" s="39"/>
      <c r="P713" s="39"/>
      <c r="Q713" s="39"/>
      <c r="R713" s="39"/>
      <c r="S713" s="39"/>
      <c r="T713" s="39"/>
      <c r="U713" s="39"/>
      <c r="V713" s="39"/>
      <c r="W713" s="92" t="s">
        <v>3915</v>
      </c>
    </row>
    <row r="714" spans="1:23" s="79" customFormat="1" ht="38.25" x14ac:dyDescent="0.2">
      <c r="A714" s="1" t="s">
        <v>461</v>
      </c>
      <c r="B714" s="2" t="s">
        <v>302</v>
      </c>
      <c r="C714" s="2" t="s">
        <v>462</v>
      </c>
      <c r="D714" s="2" t="s">
        <v>346</v>
      </c>
      <c r="E714" s="2">
        <v>2023</v>
      </c>
      <c r="F714" s="2" t="s">
        <v>291</v>
      </c>
      <c r="G714" s="2" t="s">
        <v>3092</v>
      </c>
      <c r="H714" s="2" t="s">
        <v>3092</v>
      </c>
      <c r="I714" s="1" t="s">
        <v>5128</v>
      </c>
      <c r="J714" s="1" t="s">
        <v>5129</v>
      </c>
      <c r="K714" s="17"/>
      <c r="L714" s="54" t="s">
        <v>1670</v>
      </c>
      <c r="M714" s="39"/>
      <c r="N714" s="39"/>
      <c r="O714" s="39"/>
      <c r="P714" s="39"/>
      <c r="Q714" s="39"/>
      <c r="R714" s="39"/>
      <c r="S714" s="39"/>
      <c r="T714" s="39"/>
      <c r="U714" s="39"/>
      <c r="V714" s="3">
        <v>42</v>
      </c>
      <c r="W714" s="92" t="s">
        <v>1682</v>
      </c>
    </row>
    <row r="715" spans="1:23" s="79" customFormat="1" ht="25.5" x14ac:dyDescent="0.2">
      <c r="A715" s="1" t="s">
        <v>104</v>
      </c>
      <c r="B715" s="2" t="s">
        <v>10</v>
      </c>
      <c r="C715" s="2" t="s">
        <v>105</v>
      </c>
      <c r="D715" s="2" t="s">
        <v>36</v>
      </c>
      <c r="E715" s="2">
        <v>2023</v>
      </c>
      <c r="F715" s="2" t="s">
        <v>13</v>
      </c>
      <c r="G715" s="2" t="s">
        <v>3095</v>
      </c>
      <c r="H715" s="2" t="s">
        <v>3092</v>
      </c>
      <c r="I715" s="1" t="s">
        <v>14</v>
      </c>
      <c r="J715" s="1" t="s">
        <v>5130</v>
      </c>
      <c r="K715" s="17"/>
      <c r="L715" s="54"/>
      <c r="M715" s="39"/>
      <c r="N715" s="39"/>
      <c r="O715" s="39"/>
      <c r="P715" s="39"/>
      <c r="Q715" s="39"/>
      <c r="R715" s="39"/>
      <c r="S715" s="39"/>
      <c r="T715" s="39"/>
      <c r="U715" s="39"/>
      <c r="V715" s="39"/>
      <c r="W715" s="92" t="s">
        <v>1735</v>
      </c>
    </row>
    <row r="716" spans="1:23" s="79" customFormat="1" ht="38.25" x14ac:dyDescent="0.2">
      <c r="A716" s="1" t="s">
        <v>104</v>
      </c>
      <c r="B716" s="2" t="s">
        <v>10</v>
      </c>
      <c r="C716" s="2" t="s">
        <v>105</v>
      </c>
      <c r="D716" s="2" t="s">
        <v>36</v>
      </c>
      <c r="E716" s="2">
        <v>2023</v>
      </c>
      <c r="F716" s="2" t="s">
        <v>188</v>
      </c>
      <c r="G716" s="2" t="s">
        <v>3095</v>
      </c>
      <c r="H716" s="2" t="s">
        <v>3092</v>
      </c>
      <c r="I716" s="1" t="s">
        <v>14</v>
      </c>
      <c r="J716" s="1" t="s">
        <v>5131</v>
      </c>
      <c r="K716" s="17"/>
      <c r="L716" s="54"/>
      <c r="M716" s="39"/>
      <c r="N716" s="39"/>
      <c r="O716" s="39"/>
      <c r="P716" s="39"/>
      <c r="Q716" s="39"/>
      <c r="R716" s="39"/>
      <c r="S716" s="39"/>
      <c r="T716" s="39"/>
      <c r="U716" s="39"/>
      <c r="V716" s="39"/>
      <c r="W716" s="92" t="s">
        <v>1735</v>
      </c>
    </row>
    <row r="717" spans="1:23" s="79" customFormat="1" ht="38.25" x14ac:dyDescent="0.2">
      <c r="A717" s="1" t="s">
        <v>104</v>
      </c>
      <c r="B717" s="2" t="s">
        <v>10</v>
      </c>
      <c r="C717" s="2" t="s">
        <v>105</v>
      </c>
      <c r="D717" s="2" t="s">
        <v>36</v>
      </c>
      <c r="E717" s="2">
        <v>2023</v>
      </c>
      <c r="F717" s="2" t="s">
        <v>203</v>
      </c>
      <c r="G717" s="2" t="s">
        <v>3095</v>
      </c>
      <c r="H717" s="2" t="s">
        <v>3092</v>
      </c>
      <c r="I717" s="1" t="s">
        <v>14</v>
      </c>
      <c r="J717" s="1" t="s">
        <v>5132</v>
      </c>
      <c r="K717" s="17"/>
      <c r="L717" s="54"/>
      <c r="M717" s="39"/>
      <c r="N717" s="39"/>
      <c r="O717" s="39"/>
      <c r="P717" s="39"/>
      <c r="Q717" s="39"/>
      <c r="R717" s="39"/>
      <c r="S717" s="39"/>
      <c r="T717" s="39"/>
      <c r="U717" s="39"/>
      <c r="V717" s="39"/>
      <c r="W717" s="92" t="s">
        <v>1735</v>
      </c>
    </row>
    <row r="718" spans="1:23" s="79" customFormat="1" ht="51" x14ac:dyDescent="0.2">
      <c r="A718" s="1" t="s">
        <v>104</v>
      </c>
      <c r="B718" s="2" t="s">
        <v>10</v>
      </c>
      <c r="C718" s="2" t="s">
        <v>105</v>
      </c>
      <c r="D718" s="2" t="s">
        <v>36</v>
      </c>
      <c r="E718" s="2">
        <v>2023</v>
      </c>
      <c r="F718" s="2" t="s">
        <v>211</v>
      </c>
      <c r="G718" s="2" t="s">
        <v>3095</v>
      </c>
      <c r="H718" s="2" t="s">
        <v>3092</v>
      </c>
      <c r="I718" s="1" t="s">
        <v>14</v>
      </c>
      <c r="J718" s="1" t="s">
        <v>5133</v>
      </c>
      <c r="K718" s="17"/>
      <c r="L718" s="54"/>
      <c r="M718" s="39"/>
      <c r="N718" s="39"/>
      <c r="O718" s="39"/>
      <c r="P718" s="39"/>
      <c r="Q718" s="39"/>
      <c r="R718" s="39"/>
      <c r="S718" s="39"/>
      <c r="T718" s="39"/>
      <c r="U718" s="39"/>
      <c r="V718" s="39"/>
      <c r="W718" s="92" t="s">
        <v>1735</v>
      </c>
    </row>
    <row r="719" spans="1:23" s="79" customFormat="1" ht="38.25" x14ac:dyDescent="0.2">
      <c r="A719" s="1" t="s">
        <v>104</v>
      </c>
      <c r="B719" s="2" t="s">
        <v>10</v>
      </c>
      <c r="C719" s="2" t="s">
        <v>105</v>
      </c>
      <c r="D719" s="2" t="s">
        <v>36</v>
      </c>
      <c r="E719" s="2">
        <v>2023</v>
      </c>
      <c r="F719" s="2" t="s">
        <v>221</v>
      </c>
      <c r="G719" s="2" t="s">
        <v>3095</v>
      </c>
      <c r="H719" s="2" t="s">
        <v>3092</v>
      </c>
      <c r="I719" s="1" t="s">
        <v>14</v>
      </c>
      <c r="J719" s="1" t="s">
        <v>5134</v>
      </c>
      <c r="K719" s="17"/>
      <c r="L719" s="54"/>
      <c r="M719" s="15"/>
      <c r="N719" s="15"/>
      <c r="O719" s="15"/>
      <c r="P719" s="15"/>
      <c r="Q719" s="15"/>
      <c r="R719" s="15"/>
      <c r="S719" s="15"/>
      <c r="T719" s="15"/>
      <c r="U719" s="15"/>
      <c r="V719" s="15"/>
      <c r="W719" s="92" t="s">
        <v>1735</v>
      </c>
    </row>
    <row r="720" spans="1:23" s="79" customFormat="1" ht="51" x14ac:dyDescent="0.2">
      <c r="A720" s="1" t="s">
        <v>104</v>
      </c>
      <c r="B720" s="2" t="s">
        <v>10</v>
      </c>
      <c r="C720" s="2" t="s">
        <v>105</v>
      </c>
      <c r="D720" s="2" t="s">
        <v>36</v>
      </c>
      <c r="E720" s="2">
        <v>2023</v>
      </c>
      <c r="F720" s="2" t="s">
        <v>256</v>
      </c>
      <c r="G720" s="2" t="s">
        <v>3095</v>
      </c>
      <c r="H720" s="2" t="s">
        <v>3092</v>
      </c>
      <c r="I720" s="1" t="s">
        <v>14</v>
      </c>
      <c r="J720" s="1" t="s">
        <v>5135</v>
      </c>
      <c r="K720" s="17"/>
      <c r="L720" s="54"/>
      <c r="M720" s="39"/>
      <c r="N720" s="39"/>
      <c r="O720" s="39"/>
      <c r="P720" s="39"/>
      <c r="Q720" s="39"/>
      <c r="R720" s="39"/>
      <c r="S720" s="39"/>
      <c r="T720" s="39"/>
      <c r="U720" s="39"/>
      <c r="V720" s="39"/>
      <c r="W720" s="92" t="s">
        <v>1735</v>
      </c>
    </row>
    <row r="721" spans="1:24" s="79" customFormat="1" ht="51" x14ac:dyDescent="0.2">
      <c r="A721" s="1" t="s">
        <v>104</v>
      </c>
      <c r="B721" s="2" t="s">
        <v>10</v>
      </c>
      <c r="C721" s="2" t="s">
        <v>105</v>
      </c>
      <c r="D721" s="2" t="s">
        <v>36</v>
      </c>
      <c r="E721" s="2">
        <v>2023</v>
      </c>
      <c r="F721" s="2" t="s">
        <v>276</v>
      </c>
      <c r="G721" s="2" t="s">
        <v>3095</v>
      </c>
      <c r="H721" s="2" t="s">
        <v>3092</v>
      </c>
      <c r="I721" s="1" t="s">
        <v>14</v>
      </c>
      <c r="J721" s="1" t="s">
        <v>5136</v>
      </c>
      <c r="K721" s="17"/>
      <c r="L721" s="54"/>
      <c r="M721" s="39"/>
      <c r="N721" s="39"/>
      <c r="O721" s="39"/>
      <c r="P721" s="39"/>
      <c r="Q721" s="39"/>
      <c r="R721" s="39"/>
      <c r="S721" s="39"/>
      <c r="T721" s="39"/>
      <c r="U721" s="39"/>
      <c r="V721" s="39"/>
      <c r="W721" s="92" t="s">
        <v>1735</v>
      </c>
    </row>
    <row r="722" spans="1:24" s="79" customFormat="1" ht="51" x14ac:dyDescent="0.2">
      <c r="A722" s="1" t="s">
        <v>104</v>
      </c>
      <c r="B722" s="2" t="s">
        <v>10</v>
      </c>
      <c r="C722" s="2" t="s">
        <v>105</v>
      </c>
      <c r="D722" s="2" t="s">
        <v>36</v>
      </c>
      <c r="E722" s="2">
        <v>2023</v>
      </c>
      <c r="F722" s="2" t="s">
        <v>291</v>
      </c>
      <c r="G722" s="2" t="s">
        <v>3095</v>
      </c>
      <c r="H722" s="2" t="s">
        <v>3092</v>
      </c>
      <c r="I722" s="1" t="s">
        <v>14</v>
      </c>
      <c r="J722" s="1" t="s">
        <v>5137</v>
      </c>
      <c r="K722" s="17"/>
      <c r="L722" s="54"/>
      <c r="M722" s="3"/>
      <c r="N722" s="39"/>
      <c r="O722" s="39"/>
      <c r="P722" s="39"/>
      <c r="Q722" s="39"/>
      <c r="R722" s="39"/>
      <c r="S722" s="39"/>
      <c r="T722" s="39"/>
      <c r="U722" s="39"/>
      <c r="V722" s="3"/>
      <c r="W722" s="92" t="s">
        <v>1735</v>
      </c>
    </row>
    <row r="723" spans="1:24" s="79" customFormat="1" ht="51" x14ac:dyDescent="0.2">
      <c r="A723" s="1" t="s">
        <v>104</v>
      </c>
      <c r="B723" s="2" t="s">
        <v>10</v>
      </c>
      <c r="C723" s="2" t="s">
        <v>105</v>
      </c>
      <c r="D723" s="2" t="s">
        <v>36</v>
      </c>
      <c r="E723" s="2">
        <v>2023</v>
      </c>
      <c r="F723" s="2" t="s">
        <v>311</v>
      </c>
      <c r="G723" s="2" t="s">
        <v>3095</v>
      </c>
      <c r="H723" s="2" t="s">
        <v>3092</v>
      </c>
      <c r="I723" s="1" t="s">
        <v>14</v>
      </c>
      <c r="J723" s="1" t="s">
        <v>5138</v>
      </c>
      <c r="K723" s="17"/>
      <c r="L723" s="54"/>
      <c r="M723" s="39"/>
      <c r="N723" s="39"/>
      <c r="O723" s="39"/>
      <c r="P723" s="39"/>
      <c r="Q723" s="39"/>
      <c r="R723" s="39"/>
      <c r="S723" s="39"/>
      <c r="T723" s="39"/>
      <c r="U723" s="39"/>
      <c r="V723" s="39"/>
      <c r="W723" s="92" t="s">
        <v>1735</v>
      </c>
    </row>
    <row r="724" spans="1:24" s="79" customFormat="1" ht="51" x14ac:dyDescent="0.2">
      <c r="A724" s="1" t="s">
        <v>104</v>
      </c>
      <c r="B724" s="2" t="s">
        <v>10</v>
      </c>
      <c r="C724" s="2" t="s">
        <v>105</v>
      </c>
      <c r="D724" s="2" t="s">
        <v>36</v>
      </c>
      <c r="E724" s="2">
        <v>2023</v>
      </c>
      <c r="F724" s="2" t="s">
        <v>337</v>
      </c>
      <c r="G724" s="2" t="s">
        <v>3095</v>
      </c>
      <c r="H724" s="2" t="s">
        <v>3092</v>
      </c>
      <c r="I724" s="1" t="s">
        <v>14</v>
      </c>
      <c r="J724" s="1" t="s">
        <v>5139</v>
      </c>
      <c r="K724" s="17"/>
      <c r="L724" s="80"/>
      <c r="M724" s="15"/>
      <c r="N724" s="15"/>
      <c r="O724" s="15"/>
      <c r="P724" s="15"/>
      <c r="Q724" s="15"/>
      <c r="R724" s="15"/>
      <c r="S724" s="15"/>
      <c r="T724" s="15"/>
      <c r="U724" s="15"/>
      <c r="V724" s="15"/>
      <c r="W724" s="92" t="s">
        <v>1735</v>
      </c>
    </row>
    <row r="725" spans="1:24" s="79" customFormat="1" ht="51" x14ac:dyDescent="0.2">
      <c r="A725" s="1" t="s">
        <v>104</v>
      </c>
      <c r="B725" s="2" t="s">
        <v>10</v>
      </c>
      <c r="C725" s="2" t="s">
        <v>105</v>
      </c>
      <c r="D725" s="2" t="s">
        <v>36</v>
      </c>
      <c r="E725" s="2">
        <v>2023</v>
      </c>
      <c r="F725" s="2" t="s">
        <v>364</v>
      </c>
      <c r="G725" s="2" t="s">
        <v>3095</v>
      </c>
      <c r="H725" s="2" t="s">
        <v>3092</v>
      </c>
      <c r="I725" s="1" t="s">
        <v>14</v>
      </c>
      <c r="J725" s="1" t="s">
        <v>5136</v>
      </c>
      <c r="K725" s="17"/>
      <c r="L725" s="54"/>
      <c r="M725" s="39"/>
      <c r="N725" s="39"/>
      <c r="O725" s="39"/>
      <c r="P725" s="39"/>
      <c r="Q725" s="39"/>
      <c r="R725" s="39"/>
      <c r="S725" s="39"/>
      <c r="T725" s="39"/>
      <c r="U725" s="39"/>
      <c r="V725" s="39"/>
      <c r="W725" s="92" t="s">
        <v>1735</v>
      </c>
    </row>
    <row r="726" spans="1:24" s="79" customFormat="1" ht="51" x14ac:dyDescent="0.2">
      <c r="A726" s="1" t="s">
        <v>104</v>
      </c>
      <c r="B726" s="2" t="s">
        <v>10</v>
      </c>
      <c r="C726" s="2" t="s">
        <v>105</v>
      </c>
      <c r="D726" s="2" t="s">
        <v>36</v>
      </c>
      <c r="E726" s="2">
        <v>2023</v>
      </c>
      <c r="F726" s="2" t="s">
        <v>388</v>
      </c>
      <c r="G726" s="2" t="s">
        <v>3095</v>
      </c>
      <c r="H726" s="2" t="s">
        <v>3092</v>
      </c>
      <c r="I726" s="1" t="s">
        <v>14</v>
      </c>
      <c r="J726" s="1" t="s">
        <v>5140</v>
      </c>
      <c r="K726" s="17"/>
      <c r="L726" s="53"/>
      <c r="M726" s="39"/>
      <c r="N726" s="39"/>
      <c r="O726" s="39"/>
      <c r="P726" s="39"/>
      <c r="Q726" s="39"/>
      <c r="R726" s="39"/>
      <c r="S726" s="39"/>
      <c r="T726" s="39"/>
      <c r="U726" s="39"/>
      <c r="V726" s="39"/>
      <c r="W726" s="92" t="s">
        <v>1735</v>
      </c>
      <c r="X726"/>
    </row>
    <row r="727" spans="1:24" s="79" customFormat="1" ht="63.75" x14ac:dyDescent="0.2">
      <c r="A727" s="1" t="s">
        <v>5141</v>
      </c>
      <c r="B727" s="2" t="s">
        <v>196</v>
      </c>
      <c r="C727" s="2" t="s">
        <v>5142</v>
      </c>
      <c r="D727" s="2" t="s">
        <v>223</v>
      </c>
      <c r="E727" s="2">
        <v>2023</v>
      </c>
      <c r="F727" s="2" t="s">
        <v>337</v>
      </c>
      <c r="G727" s="2" t="s">
        <v>3093</v>
      </c>
      <c r="H727" s="2" t="s">
        <v>3092</v>
      </c>
      <c r="I727" s="1" t="s">
        <v>14</v>
      </c>
      <c r="J727" s="1" t="s">
        <v>5143</v>
      </c>
      <c r="K727" s="17"/>
      <c r="L727" s="54">
        <v>0.21299999999999999</v>
      </c>
      <c r="M727" s="39"/>
      <c r="N727" s="39"/>
      <c r="O727" s="39">
        <f>71/L727</f>
        <v>333.33333333333331</v>
      </c>
      <c r="P727" s="39"/>
      <c r="Q727" s="39"/>
      <c r="R727" s="39"/>
      <c r="S727" s="39"/>
      <c r="T727" s="39"/>
      <c r="U727" s="39"/>
      <c r="V727" s="39"/>
      <c r="W727" s="92"/>
    </row>
    <row r="728" spans="1:24" s="79" customFormat="1" ht="25.5" x14ac:dyDescent="0.2">
      <c r="A728" s="1" t="s">
        <v>3926</v>
      </c>
      <c r="B728" s="2" t="s">
        <v>163</v>
      </c>
      <c r="C728" s="2" t="s">
        <v>3927</v>
      </c>
      <c r="D728" s="2" t="s">
        <v>336</v>
      </c>
      <c r="E728" s="2">
        <v>2023</v>
      </c>
      <c r="F728" s="2" t="s">
        <v>13</v>
      </c>
      <c r="G728" s="2" t="s">
        <v>3095</v>
      </c>
      <c r="H728" s="2" t="s">
        <v>3092</v>
      </c>
      <c r="I728" s="1" t="s">
        <v>14</v>
      </c>
      <c r="J728" s="1" t="s">
        <v>5144</v>
      </c>
      <c r="K728" s="17"/>
      <c r="L728" s="54"/>
      <c r="M728" s="39"/>
      <c r="N728" s="39"/>
      <c r="O728" s="39"/>
      <c r="P728" s="39"/>
      <c r="Q728" s="39"/>
      <c r="R728" s="39"/>
      <c r="S728" s="39"/>
      <c r="T728" s="39"/>
      <c r="U728" s="39"/>
      <c r="V728" s="39"/>
      <c r="W728" s="92" t="s">
        <v>3929</v>
      </c>
    </row>
    <row r="729" spans="1:24" s="79" customFormat="1" ht="25.5" x14ac:dyDescent="0.2">
      <c r="A729" s="1" t="s">
        <v>3926</v>
      </c>
      <c r="B729" s="2" t="s">
        <v>163</v>
      </c>
      <c r="C729" s="2" t="s">
        <v>3927</v>
      </c>
      <c r="D729" s="2" t="s">
        <v>336</v>
      </c>
      <c r="E729" s="2">
        <v>2023</v>
      </c>
      <c r="F729" s="2" t="s">
        <v>188</v>
      </c>
      <c r="G729" s="2" t="s">
        <v>3095</v>
      </c>
      <c r="H729" s="2" t="s">
        <v>3092</v>
      </c>
      <c r="I729" s="1" t="s">
        <v>14</v>
      </c>
      <c r="J729" s="1" t="s">
        <v>5145</v>
      </c>
      <c r="K729" s="17"/>
      <c r="L729" s="54"/>
      <c r="M729" s="39"/>
      <c r="N729" s="39"/>
      <c r="O729" s="39"/>
      <c r="P729" s="39"/>
      <c r="Q729" s="39"/>
      <c r="R729" s="39"/>
      <c r="S729" s="39"/>
      <c r="T729" s="39"/>
      <c r="U729" s="39"/>
      <c r="V729" s="39"/>
      <c r="W729" s="92" t="s">
        <v>3929</v>
      </c>
    </row>
    <row r="730" spans="1:24" s="79" customFormat="1" ht="25.5" x14ac:dyDescent="0.2">
      <c r="A730" s="1" t="s">
        <v>3926</v>
      </c>
      <c r="B730" s="2" t="s">
        <v>163</v>
      </c>
      <c r="C730" s="2" t="s">
        <v>3927</v>
      </c>
      <c r="D730" s="2" t="s">
        <v>336</v>
      </c>
      <c r="E730" s="2">
        <v>2023</v>
      </c>
      <c r="F730" s="2" t="s">
        <v>203</v>
      </c>
      <c r="G730" s="2" t="s">
        <v>3095</v>
      </c>
      <c r="H730" s="2" t="s">
        <v>3092</v>
      </c>
      <c r="I730" s="1" t="s">
        <v>14</v>
      </c>
      <c r="J730" s="1" t="s">
        <v>5146</v>
      </c>
      <c r="K730" s="17"/>
      <c r="L730" s="54"/>
      <c r="M730" s="39"/>
      <c r="N730" s="39"/>
      <c r="O730" s="39"/>
      <c r="P730" s="39"/>
      <c r="Q730" s="39"/>
      <c r="R730" s="39"/>
      <c r="S730" s="39"/>
      <c r="T730" s="39"/>
      <c r="U730" s="39"/>
      <c r="V730" s="39"/>
      <c r="W730" s="92" t="s">
        <v>3929</v>
      </c>
    </row>
    <row r="731" spans="1:24" s="79" customFormat="1" ht="25.5" x14ac:dyDescent="0.2">
      <c r="A731" s="1" t="s">
        <v>3926</v>
      </c>
      <c r="B731" s="2" t="s">
        <v>163</v>
      </c>
      <c r="C731" s="2" t="s">
        <v>3927</v>
      </c>
      <c r="D731" s="2" t="s">
        <v>336</v>
      </c>
      <c r="E731" s="2">
        <v>2023</v>
      </c>
      <c r="F731" s="2" t="s">
        <v>211</v>
      </c>
      <c r="G731" s="2" t="s">
        <v>3095</v>
      </c>
      <c r="H731" s="2" t="s">
        <v>3092</v>
      </c>
      <c r="I731" s="1" t="s">
        <v>14</v>
      </c>
      <c r="J731" s="1" t="s">
        <v>5147</v>
      </c>
      <c r="K731" s="17"/>
      <c r="L731" s="54"/>
      <c r="M731" s="39"/>
      <c r="N731" s="39"/>
      <c r="O731" s="39"/>
      <c r="P731" s="39"/>
      <c r="Q731" s="39"/>
      <c r="R731" s="39"/>
      <c r="S731" s="39"/>
      <c r="T731" s="39"/>
      <c r="U731" s="39"/>
      <c r="V731" s="39"/>
      <c r="W731" s="92" t="s">
        <v>3929</v>
      </c>
    </row>
    <row r="732" spans="1:24" s="79" customFormat="1" ht="25.5" x14ac:dyDescent="0.2">
      <c r="A732" s="1" t="s">
        <v>3926</v>
      </c>
      <c r="B732" s="2" t="s">
        <v>163</v>
      </c>
      <c r="C732" s="2" t="s">
        <v>3927</v>
      </c>
      <c r="D732" s="2" t="s">
        <v>336</v>
      </c>
      <c r="E732" s="2">
        <v>2023</v>
      </c>
      <c r="F732" s="2" t="s">
        <v>221</v>
      </c>
      <c r="G732" s="2" t="s">
        <v>3095</v>
      </c>
      <c r="H732" s="2" t="s">
        <v>3092</v>
      </c>
      <c r="I732" s="1" t="s">
        <v>14</v>
      </c>
      <c r="J732" s="1" t="s">
        <v>5148</v>
      </c>
      <c r="K732" s="17"/>
      <c r="L732" s="54"/>
      <c r="M732" s="39"/>
      <c r="N732" s="39"/>
      <c r="O732" s="39"/>
      <c r="P732" s="39"/>
      <c r="Q732" s="39"/>
      <c r="R732" s="39"/>
      <c r="S732" s="39"/>
      <c r="T732" s="39"/>
      <c r="U732" s="39"/>
      <c r="V732" s="39"/>
      <c r="W732" s="92" t="s">
        <v>3929</v>
      </c>
    </row>
    <row r="733" spans="1:24" s="79" customFormat="1" ht="25.5" x14ac:dyDescent="0.2">
      <c r="A733" s="1" t="s">
        <v>3926</v>
      </c>
      <c r="B733" s="2" t="s">
        <v>163</v>
      </c>
      <c r="C733" s="2" t="s">
        <v>3927</v>
      </c>
      <c r="D733" s="2" t="s">
        <v>336</v>
      </c>
      <c r="E733" s="2">
        <v>2023</v>
      </c>
      <c r="F733" s="2" t="s">
        <v>256</v>
      </c>
      <c r="G733" s="2" t="s">
        <v>3095</v>
      </c>
      <c r="H733" s="2" t="s">
        <v>3092</v>
      </c>
      <c r="I733" s="1" t="s">
        <v>14</v>
      </c>
      <c r="J733" s="1" t="s">
        <v>5149</v>
      </c>
      <c r="K733" s="17"/>
      <c r="L733" s="54"/>
      <c r="M733" s="39"/>
      <c r="N733" s="39"/>
      <c r="O733" s="39"/>
      <c r="P733" s="39"/>
      <c r="Q733" s="39"/>
      <c r="R733" s="39"/>
      <c r="S733" s="39"/>
      <c r="T733" s="39"/>
      <c r="U733" s="39"/>
      <c r="V733" s="39"/>
      <c r="W733" s="92" t="s">
        <v>3929</v>
      </c>
    </row>
    <row r="734" spans="1:24" s="79" customFormat="1" ht="25.5" x14ac:dyDescent="0.2">
      <c r="A734" s="1" t="s">
        <v>3926</v>
      </c>
      <c r="B734" s="2" t="s">
        <v>163</v>
      </c>
      <c r="C734" s="2" t="s">
        <v>3927</v>
      </c>
      <c r="D734" s="2" t="s">
        <v>336</v>
      </c>
      <c r="E734" s="2">
        <v>2023</v>
      </c>
      <c r="F734" s="2" t="s">
        <v>276</v>
      </c>
      <c r="G734" s="2" t="s">
        <v>3095</v>
      </c>
      <c r="H734" s="2" t="s">
        <v>3092</v>
      </c>
      <c r="I734" s="1" t="s">
        <v>14</v>
      </c>
      <c r="J734" s="1" t="s">
        <v>5150</v>
      </c>
      <c r="K734" s="17"/>
      <c r="L734" s="54"/>
      <c r="M734" s="39"/>
      <c r="N734" s="39"/>
      <c r="O734" s="39"/>
      <c r="P734" s="39"/>
      <c r="Q734" s="39"/>
      <c r="R734" s="39"/>
      <c r="S734" s="39"/>
      <c r="T734" s="39"/>
      <c r="U734" s="39"/>
      <c r="V734" s="39"/>
      <c r="W734" s="92" t="s">
        <v>3929</v>
      </c>
    </row>
    <row r="735" spans="1:24" s="79" customFormat="1" ht="25.5" x14ac:dyDescent="0.2">
      <c r="A735" s="1" t="s">
        <v>3926</v>
      </c>
      <c r="B735" s="2" t="s">
        <v>163</v>
      </c>
      <c r="C735" s="2" t="s">
        <v>3927</v>
      </c>
      <c r="D735" s="2" t="s">
        <v>336</v>
      </c>
      <c r="E735" s="2">
        <v>2023</v>
      </c>
      <c r="F735" s="2" t="s">
        <v>291</v>
      </c>
      <c r="G735" s="2" t="s">
        <v>3095</v>
      </c>
      <c r="H735" s="2" t="s">
        <v>3092</v>
      </c>
      <c r="I735" s="1" t="s">
        <v>14</v>
      </c>
      <c r="J735" s="1" t="s">
        <v>5151</v>
      </c>
      <c r="K735" s="17"/>
      <c r="L735" s="54"/>
      <c r="M735" s="39"/>
      <c r="N735" s="39"/>
      <c r="O735" s="39"/>
      <c r="P735" s="39"/>
      <c r="Q735" s="39"/>
      <c r="R735" s="39"/>
      <c r="S735" s="39"/>
      <c r="T735" s="39"/>
      <c r="U735" s="39"/>
      <c r="V735" s="39"/>
      <c r="W735" s="92" t="s">
        <v>3929</v>
      </c>
    </row>
    <row r="736" spans="1:24" s="79" customFormat="1" ht="25.5" x14ac:dyDescent="0.2">
      <c r="A736" s="1" t="s">
        <v>3926</v>
      </c>
      <c r="B736" s="2" t="s">
        <v>163</v>
      </c>
      <c r="C736" s="2" t="s">
        <v>3927</v>
      </c>
      <c r="D736" s="2" t="s">
        <v>336</v>
      </c>
      <c r="E736" s="2">
        <v>2023</v>
      </c>
      <c r="F736" s="2" t="s">
        <v>311</v>
      </c>
      <c r="G736" s="2" t="s">
        <v>3095</v>
      </c>
      <c r="H736" s="2" t="s">
        <v>3092</v>
      </c>
      <c r="I736" s="1" t="s">
        <v>14</v>
      </c>
      <c r="J736" s="1" t="s">
        <v>5152</v>
      </c>
      <c r="K736" s="17"/>
      <c r="L736" s="54"/>
      <c r="M736" s="39"/>
      <c r="N736" s="39"/>
      <c r="O736" s="39"/>
      <c r="P736" s="39"/>
      <c r="Q736" s="39"/>
      <c r="R736" s="39"/>
      <c r="S736" s="39"/>
      <c r="T736" s="39"/>
      <c r="U736" s="39"/>
      <c r="V736" s="39"/>
      <c r="W736" s="92" t="s">
        <v>3929</v>
      </c>
    </row>
    <row r="737" spans="1:24" s="79" customFormat="1" ht="51" x14ac:dyDescent="0.2">
      <c r="A737" s="1" t="s">
        <v>3926</v>
      </c>
      <c r="B737" s="2" t="s">
        <v>163</v>
      </c>
      <c r="C737" s="2" t="s">
        <v>3927</v>
      </c>
      <c r="D737" s="2" t="s">
        <v>336</v>
      </c>
      <c r="E737" s="2">
        <v>2023</v>
      </c>
      <c r="F737" s="2" t="s">
        <v>337</v>
      </c>
      <c r="G737" s="2" t="s">
        <v>3095</v>
      </c>
      <c r="H737" s="2" t="s">
        <v>3092</v>
      </c>
      <c r="I737" s="1" t="s">
        <v>14</v>
      </c>
      <c r="J737" s="1" t="s">
        <v>5153</v>
      </c>
      <c r="K737" s="17"/>
      <c r="L737" s="54"/>
      <c r="M737" s="39"/>
      <c r="N737" s="39"/>
      <c r="O737" s="39"/>
      <c r="P737" s="39"/>
      <c r="Q737" s="39"/>
      <c r="R737" s="39"/>
      <c r="S737" s="39"/>
      <c r="T737" s="39"/>
      <c r="U737" s="39"/>
      <c r="V737" s="39"/>
      <c r="W737" s="92" t="s">
        <v>3929</v>
      </c>
    </row>
    <row r="738" spans="1:24" s="79" customFormat="1" ht="25.5" x14ac:dyDescent="0.2">
      <c r="A738" s="1" t="s">
        <v>3926</v>
      </c>
      <c r="B738" s="2" t="s">
        <v>163</v>
      </c>
      <c r="C738" s="2" t="s">
        <v>3927</v>
      </c>
      <c r="D738" s="2" t="s">
        <v>336</v>
      </c>
      <c r="E738" s="2">
        <v>2023</v>
      </c>
      <c r="F738" s="2" t="s">
        <v>364</v>
      </c>
      <c r="G738" s="2" t="s">
        <v>3095</v>
      </c>
      <c r="H738" s="2" t="s">
        <v>3092</v>
      </c>
      <c r="I738" s="1" t="s">
        <v>14</v>
      </c>
      <c r="J738" s="1" t="s">
        <v>5154</v>
      </c>
      <c r="K738" s="17"/>
      <c r="L738" s="54"/>
      <c r="M738" s="39"/>
      <c r="N738" s="39"/>
      <c r="O738" s="39"/>
      <c r="P738" s="39"/>
      <c r="Q738" s="39"/>
      <c r="R738" s="39"/>
      <c r="S738" s="39"/>
      <c r="T738" s="39"/>
      <c r="U738" s="39"/>
      <c r="V738" s="39"/>
      <c r="W738" s="92" t="s">
        <v>3929</v>
      </c>
    </row>
    <row r="739" spans="1:24" s="79" customFormat="1" ht="25.5" x14ac:dyDescent="0.2">
      <c r="A739" s="1" t="s">
        <v>3926</v>
      </c>
      <c r="B739" s="2" t="s">
        <v>163</v>
      </c>
      <c r="C739" s="2" t="s">
        <v>3927</v>
      </c>
      <c r="D739" s="2" t="s">
        <v>336</v>
      </c>
      <c r="E739" s="2">
        <v>2023</v>
      </c>
      <c r="F739" s="2" t="s">
        <v>388</v>
      </c>
      <c r="G739" s="2" t="s">
        <v>3095</v>
      </c>
      <c r="H739" s="2" t="s">
        <v>3092</v>
      </c>
      <c r="I739" s="1" t="s">
        <v>14</v>
      </c>
      <c r="J739" s="1" t="s">
        <v>5155</v>
      </c>
      <c r="K739" s="17"/>
      <c r="L739" s="58"/>
      <c r="M739" s="59"/>
      <c r="N739" s="59"/>
      <c r="O739" s="59"/>
      <c r="P739" s="59"/>
      <c r="Q739" s="59"/>
      <c r="R739" s="59"/>
      <c r="S739" s="59"/>
      <c r="T739" s="59"/>
      <c r="U739" s="59"/>
      <c r="V739" s="59"/>
      <c r="W739" s="92" t="s">
        <v>3929</v>
      </c>
      <c r="X739"/>
    </row>
    <row r="740" spans="1:24" s="79" customFormat="1" ht="38.25" x14ac:dyDescent="0.2">
      <c r="A740" s="1" t="s">
        <v>289</v>
      </c>
      <c r="B740" s="2" t="s">
        <v>32</v>
      </c>
      <c r="C740" s="2" t="s">
        <v>290</v>
      </c>
      <c r="D740" s="2" t="s">
        <v>92</v>
      </c>
      <c r="E740" s="2">
        <v>2023</v>
      </c>
      <c r="F740" s="2" t="s">
        <v>13</v>
      </c>
      <c r="G740" s="2" t="s">
        <v>3095</v>
      </c>
      <c r="H740" s="2" t="s">
        <v>3092</v>
      </c>
      <c r="I740" s="1" t="s">
        <v>14</v>
      </c>
      <c r="J740" s="1" t="s">
        <v>5156</v>
      </c>
      <c r="K740" s="17"/>
      <c r="L740" s="54">
        <v>0.04</v>
      </c>
      <c r="M740" s="39"/>
      <c r="N740" s="39"/>
      <c r="O740" s="39"/>
      <c r="P740" s="39"/>
      <c r="Q740" s="39"/>
      <c r="R740" s="39"/>
      <c r="S740" s="39"/>
      <c r="T740" s="39"/>
      <c r="U740" s="39"/>
      <c r="V740" s="39">
        <v>60</v>
      </c>
      <c r="W740" s="92" t="s">
        <v>1699</v>
      </c>
    </row>
    <row r="741" spans="1:24" s="79" customFormat="1" ht="38.25" x14ac:dyDescent="0.2">
      <c r="A741" s="1" t="s">
        <v>289</v>
      </c>
      <c r="B741" s="2" t="s">
        <v>32</v>
      </c>
      <c r="C741" s="2" t="s">
        <v>290</v>
      </c>
      <c r="D741" s="2" t="s">
        <v>92</v>
      </c>
      <c r="E741" s="2">
        <v>2023</v>
      </c>
      <c r="F741" s="2" t="s">
        <v>221</v>
      </c>
      <c r="G741" s="2" t="s">
        <v>3095</v>
      </c>
      <c r="H741" s="2" t="s">
        <v>3092</v>
      </c>
      <c r="I741" s="1" t="s">
        <v>14</v>
      </c>
      <c r="J741" s="1" t="s">
        <v>5157</v>
      </c>
      <c r="K741" s="17"/>
      <c r="L741" s="54">
        <v>0.06</v>
      </c>
      <c r="M741" s="39"/>
      <c r="N741" s="39"/>
      <c r="O741" s="39"/>
      <c r="P741" s="39"/>
      <c r="Q741" s="39"/>
      <c r="R741" s="39"/>
      <c r="S741" s="39"/>
      <c r="T741" s="39"/>
      <c r="U741" s="39"/>
      <c r="V741" s="39">
        <v>75</v>
      </c>
      <c r="W741" s="92" t="s">
        <v>1699</v>
      </c>
    </row>
    <row r="742" spans="1:24" s="79" customFormat="1" ht="38.25" x14ac:dyDescent="0.2">
      <c r="A742" s="1" t="s">
        <v>289</v>
      </c>
      <c r="B742" s="2" t="s">
        <v>32</v>
      </c>
      <c r="C742" s="2" t="s">
        <v>290</v>
      </c>
      <c r="D742" s="2" t="s">
        <v>92</v>
      </c>
      <c r="E742" s="2">
        <v>2023</v>
      </c>
      <c r="F742" s="2" t="s">
        <v>221</v>
      </c>
      <c r="G742" s="2" t="s">
        <v>3095</v>
      </c>
      <c r="H742" s="2" t="s">
        <v>3092</v>
      </c>
      <c r="I742" s="1" t="s">
        <v>14</v>
      </c>
      <c r="J742" s="1" t="s">
        <v>5157</v>
      </c>
      <c r="K742" s="17"/>
      <c r="L742" s="54"/>
      <c r="M742" s="39"/>
      <c r="N742" s="39"/>
      <c r="O742" s="39"/>
      <c r="P742" s="39"/>
      <c r="Q742" s="39"/>
      <c r="R742" s="39"/>
      <c r="S742" s="39"/>
      <c r="T742" s="39"/>
      <c r="U742" s="39"/>
      <c r="V742" s="39"/>
      <c r="W742" s="92" t="s">
        <v>5158</v>
      </c>
    </row>
    <row r="743" spans="1:24" s="79" customFormat="1" ht="25.5" x14ac:dyDescent="0.2">
      <c r="A743" s="1" t="s">
        <v>289</v>
      </c>
      <c r="B743" s="2" t="s">
        <v>32</v>
      </c>
      <c r="C743" s="2" t="s">
        <v>290</v>
      </c>
      <c r="D743" s="2" t="s">
        <v>92</v>
      </c>
      <c r="E743" s="2">
        <v>2023</v>
      </c>
      <c r="F743" s="2" t="s">
        <v>256</v>
      </c>
      <c r="G743" s="2" t="s">
        <v>3095</v>
      </c>
      <c r="H743" s="2" t="s">
        <v>3092</v>
      </c>
      <c r="I743" s="1" t="s">
        <v>14</v>
      </c>
      <c r="J743" s="1" t="s">
        <v>5159</v>
      </c>
      <c r="K743" s="17"/>
      <c r="L743" s="54">
        <v>0.06</v>
      </c>
      <c r="M743" s="39"/>
      <c r="N743" s="39"/>
      <c r="O743" s="39"/>
      <c r="P743" s="39"/>
      <c r="Q743" s="39"/>
      <c r="R743" s="39"/>
      <c r="S743" s="39"/>
      <c r="T743" s="39"/>
      <c r="U743" s="39"/>
      <c r="V743" s="39">
        <v>70</v>
      </c>
      <c r="W743" s="92" t="s">
        <v>1699</v>
      </c>
    </row>
    <row r="744" spans="1:24" s="79" customFormat="1" ht="25.5" x14ac:dyDescent="0.2">
      <c r="A744" s="1" t="s">
        <v>289</v>
      </c>
      <c r="B744" s="2" t="s">
        <v>32</v>
      </c>
      <c r="C744" s="2" t="s">
        <v>290</v>
      </c>
      <c r="D744" s="2" t="s">
        <v>92</v>
      </c>
      <c r="E744" s="2">
        <v>2023</v>
      </c>
      <c r="F744" s="2" t="s">
        <v>256</v>
      </c>
      <c r="G744" s="2" t="s">
        <v>3095</v>
      </c>
      <c r="H744" s="2" t="s">
        <v>3092</v>
      </c>
      <c r="I744" s="1" t="s">
        <v>14</v>
      </c>
      <c r="J744" s="1" t="s">
        <v>5159</v>
      </c>
      <c r="K744" s="17"/>
      <c r="L744" s="54"/>
      <c r="M744" s="39"/>
      <c r="N744" s="39"/>
      <c r="O744" s="39"/>
      <c r="P744" s="39"/>
      <c r="Q744" s="39"/>
      <c r="R744" s="39"/>
      <c r="S744" s="39"/>
      <c r="T744" s="39"/>
      <c r="U744" s="39"/>
      <c r="V744" s="39"/>
      <c r="W744" s="92" t="s">
        <v>5158</v>
      </c>
    </row>
    <row r="745" spans="1:24" s="79" customFormat="1" ht="38.25" x14ac:dyDescent="0.2">
      <c r="A745" s="1" t="s">
        <v>289</v>
      </c>
      <c r="B745" s="2" t="s">
        <v>32</v>
      </c>
      <c r="C745" s="2" t="s">
        <v>290</v>
      </c>
      <c r="D745" s="2" t="s">
        <v>92</v>
      </c>
      <c r="E745" s="2">
        <v>2023</v>
      </c>
      <c r="F745" s="2" t="s">
        <v>276</v>
      </c>
      <c r="G745" s="2" t="s">
        <v>3095</v>
      </c>
      <c r="H745" s="2" t="s">
        <v>3092</v>
      </c>
      <c r="I745" s="1" t="s">
        <v>14</v>
      </c>
      <c r="J745" s="1" t="s">
        <v>5160</v>
      </c>
      <c r="K745" s="17"/>
      <c r="L745" s="54">
        <v>0.06</v>
      </c>
      <c r="M745" s="39"/>
      <c r="N745" s="39"/>
      <c r="O745" s="39"/>
      <c r="P745" s="39"/>
      <c r="Q745" s="39"/>
      <c r="R745" s="39"/>
      <c r="S745" s="39"/>
      <c r="T745" s="39"/>
      <c r="U745" s="39"/>
      <c r="V745" s="39">
        <v>120</v>
      </c>
      <c r="W745" s="92" t="s">
        <v>1699</v>
      </c>
    </row>
    <row r="746" spans="1:24" s="79" customFormat="1" ht="38.25" x14ac:dyDescent="0.2">
      <c r="A746" s="1" t="s">
        <v>289</v>
      </c>
      <c r="B746" s="2" t="s">
        <v>32</v>
      </c>
      <c r="C746" s="2" t="s">
        <v>290</v>
      </c>
      <c r="D746" s="2" t="s">
        <v>92</v>
      </c>
      <c r="E746" s="2">
        <v>2023</v>
      </c>
      <c r="F746" s="2" t="s">
        <v>276</v>
      </c>
      <c r="G746" s="2" t="s">
        <v>3095</v>
      </c>
      <c r="H746" s="2" t="s">
        <v>3092</v>
      </c>
      <c r="I746" s="1" t="s">
        <v>14</v>
      </c>
      <c r="J746" s="1" t="s">
        <v>5160</v>
      </c>
      <c r="K746" s="17"/>
      <c r="L746" s="54"/>
      <c r="M746" s="39"/>
      <c r="N746" s="39"/>
      <c r="O746" s="39"/>
      <c r="P746" s="39"/>
      <c r="Q746" s="39"/>
      <c r="R746" s="39"/>
      <c r="S746" s="39"/>
      <c r="T746" s="39"/>
      <c r="U746" s="39"/>
      <c r="V746" s="39"/>
      <c r="W746" s="92" t="s">
        <v>5158</v>
      </c>
    </row>
    <row r="747" spans="1:24" s="79" customFormat="1" ht="38.25" x14ac:dyDescent="0.2">
      <c r="A747" s="1" t="s">
        <v>289</v>
      </c>
      <c r="B747" s="2" t="s">
        <v>32</v>
      </c>
      <c r="C747" s="2" t="s">
        <v>290</v>
      </c>
      <c r="D747" s="2" t="s">
        <v>92</v>
      </c>
      <c r="E747" s="2">
        <v>2023</v>
      </c>
      <c r="F747" s="2" t="s">
        <v>291</v>
      </c>
      <c r="G747" s="2" t="s">
        <v>3095</v>
      </c>
      <c r="H747" s="2" t="s">
        <v>3092</v>
      </c>
      <c r="I747" s="1" t="s">
        <v>14</v>
      </c>
      <c r="J747" s="1" t="s">
        <v>5161</v>
      </c>
      <c r="K747" s="17"/>
      <c r="L747" s="54">
        <v>0.06</v>
      </c>
      <c r="M747" s="39"/>
      <c r="N747" s="39"/>
      <c r="O747" s="39"/>
      <c r="P747" s="39"/>
      <c r="Q747" s="39"/>
      <c r="R747" s="39"/>
      <c r="S747" s="39"/>
      <c r="T747" s="39"/>
      <c r="U747" s="39"/>
      <c r="V747" s="3">
        <v>140</v>
      </c>
      <c r="W747" s="92" t="s">
        <v>1699</v>
      </c>
    </row>
    <row r="748" spans="1:24" s="79" customFormat="1" ht="38.25" x14ac:dyDescent="0.2">
      <c r="A748" s="1" t="s">
        <v>289</v>
      </c>
      <c r="B748" s="2" t="s">
        <v>32</v>
      </c>
      <c r="C748" s="2" t="s">
        <v>290</v>
      </c>
      <c r="D748" s="2" t="s">
        <v>92</v>
      </c>
      <c r="E748" s="2">
        <v>2023</v>
      </c>
      <c r="F748" s="2" t="s">
        <v>291</v>
      </c>
      <c r="G748" s="2" t="s">
        <v>3095</v>
      </c>
      <c r="H748" s="2" t="s">
        <v>3092</v>
      </c>
      <c r="I748" s="1" t="s">
        <v>14</v>
      </c>
      <c r="J748" s="1" t="s">
        <v>5161</v>
      </c>
      <c r="K748" s="17"/>
      <c r="L748" s="54"/>
      <c r="M748" s="39"/>
      <c r="N748" s="3"/>
      <c r="O748" s="39"/>
      <c r="P748" s="39"/>
      <c r="Q748" s="39"/>
      <c r="R748" s="39"/>
      <c r="S748" s="39"/>
      <c r="T748" s="39"/>
      <c r="U748" s="39"/>
      <c r="V748" s="3"/>
      <c r="W748" s="92" t="s">
        <v>5158</v>
      </c>
    </row>
    <row r="749" spans="1:24" s="79" customFormat="1" ht="25.5" x14ac:dyDescent="0.2">
      <c r="A749" s="1" t="s">
        <v>289</v>
      </c>
      <c r="B749" s="2" t="s">
        <v>32</v>
      </c>
      <c r="C749" s="2" t="s">
        <v>290</v>
      </c>
      <c r="D749" s="2" t="s">
        <v>92</v>
      </c>
      <c r="E749" s="2">
        <v>2023</v>
      </c>
      <c r="F749" s="2" t="s">
        <v>311</v>
      </c>
      <c r="G749" s="2" t="s">
        <v>3095</v>
      </c>
      <c r="H749" s="2" t="s">
        <v>3092</v>
      </c>
      <c r="I749" s="1" t="s">
        <v>14</v>
      </c>
      <c r="J749" s="1" t="s">
        <v>5162</v>
      </c>
      <c r="K749" s="17"/>
      <c r="L749" s="54">
        <v>0.06</v>
      </c>
      <c r="M749" s="39"/>
      <c r="N749" s="39"/>
      <c r="O749" s="39"/>
      <c r="P749" s="39"/>
      <c r="Q749" s="39"/>
      <c r="R749" s="39"/>
      <c r="S749" s="39"/>
      <c r="T749" s="39"/>
      <c r="U749" s="39"/>
      <c r="V749" s="39">
        <v>75</v>
      </c>
      <c r="W749" s="92" t="s">
        <v>1699</v>
      </c>
    </row>
    <row r="750" spans="1:24" s="79" customFormat="1" ht="25.5" x14ac:dyDescent="0.2">
      <c r="A750" s="1" t="s">
        <v>289</v>
      </c>
      <c r="B750" s="2" t="s">
        <v>32</v>
      </c>
      <c r="C750" s="2" t="s">
        <v>290</v>
      </c>
      <c r="D750" s="2" t="s">
        <v>92</v>
      </c>
      <c r="E750" s="2">
        <v>2023</v>
      </c>
      <c r="F750" s="2" t="s">
        <v>311</v>
      </c>
      <c r="G750" s="2" t="s">
        <v>3095</v>
      </c>
      <c r="H750" s="2" t="s">
        <v>3092</v>
      </c>
      <c r="I750" s="1" t="s">
        <v>14</v>
      </c>
      <c r="J750" s="1" t="s">
        <v>5162</v>
      </c>
      <c r="K750" s="17"/>
      <c r="L750" s="54"/>
      <c r="M750" s="39"/>
      <c r="N750" s="39"/>
      <c r="O750" s="39"/>
      <c r="P750" s="39"/>
      <c r="Q750" s="39"/>
      <c r="R750" s="39"/>
      <c r="S750" s="39"/>
      <c r="T750" s="39"/>
      <c r="U750" s="39"/>
      <c r="V750" s="39"/>
      <c r="W750" s="92" t="s">
        <v>5158</v>
      </c>
    </row>
    <row r="751" spans="1:24" s="79" customFormat="1" ht="38.25" x14ac:dyDescent="0.2">
      <c r="A751" s="1" t="s">
        <v>289</v>
      </c>
      <c r="B751" s="2" t="s">
        <v>32</v>
      </c>
      <c r="C751" s="2" t="s">
        <v>290</v>
      </c>
      <c r="D751" s="2" t="s">
        <v>92</v>
      </c>
      <c r="E751" s="2">
        <v>2023</v>
      </c>
      <c r="F751" s="2" t="s">
        <v>337</v>
      </c>
      <c r="G751" s="2" t="s">
        <v>3095</v>
      </c>
      <c r="H751" s="2" t="s">
        <v>3092</v>
      </c>
      <c r="I751" s="1" t="s">
        <v>14</v>
      </c>
      <c r="J751" s="1" t="s">
        <v>5163</v>
      </c>
      <c r="K751" s="17"/>
      <c r="L751" s="54">
        <v>0.06</v>
      </c>
      <c r="M751" s="39"/>
      <c r="N751" s="39"/>
      <c r="O751" s="39"/>
      <c r="P751" s="39"/>
      <c r="Q751" s="39"/>
      <c r="R751" s="39"/>
      <c r="S751" s="39"/>
      <c r="T751" s="39"/>
      <c r="U751" s="39"/>
      <c r="V751" s="39">
        <v>70</v>
      </c>
      <c r="W751" s="92" t="s">
        <v>1699</v>
      </c>
    </row>
    <row r="752" spans="1:24" s="79" customFormat="1" ht="38.25" x14ac:dyDescent="0.2">
      <c r="A752" s="1" t="s">
        <v>289</v>
      </c>
      <c r="B752" s="2" t="s">
        <v>32</v>
      </c>
      <c r="C752" s="2" t="s">
        <v>290</v>
      </c>
      <c r="D752" s="2" t="s">
        <v>92</v>
      </c>
      <c r="E752" s="2">
        <v>2023</v>
      </c>
      <c r="F752" s="2" t="s">
        <v>337</v>
      </c>
      <c r="G752" s="2" t="s">
        <v>3095</v>
      </c>
      <c r="H752" s="2" t="s">
        <v>3092</v>
      </c>
      <c r="I752" s="1" t="s">
        <v>14</v>
      </c>
      <c r="J752" s="1" t="s">
        <v>5163</v>
      </c>
      <c r="K752" s="17"/>
      <c r="L752" s="54"/>
      <c r="M752" s="39"/>
      <c r="N752" s="39"/>
      <c r="O752" s="39"/>
      <c r="P752" s="39"/>
      <c r="Q752" s="39"/>
      <c r="R752" s="39"/>
      <c r="S752" s="39"/>
      <c r="T752" s="39"/>
      <c r="U752" s="39"/>
      <c r="V752" s="39"/>
      <c r="W752" s="92" t="s">
        <v>5158</v>
      </c>
    </row>
    <row r="753" spans="1:23" s="79" customFormat="1" ht="38.25" x14ac:dyDescent="0.2">
      <c r="A753" s="1" t="s">
        <v>289</v>
      </c>
      <c r="B753" s="2" t="s">
        <v>32</v>
      </c>
      <c r="C753" s="2" t="s">
        <v>290</v>
      </c>
      <c r="D753" s="2" t="s">
        <v>92</v>
      </c>
      <c r="E753" s="2">
        <v>2023</v>
      </c>
      <c r="F753" s="2" t="s">
        <v>364</v>
      </c>
      <c r="G753" s="2" t="s">
        <v>3095</v>
      </c>
      <c r="H753" s="2" t="s">
        <v>3092</v>
      </c>
      <c r="I753" s="1" t="s">
        <v>14</v>
      </c>
      <c r="J753" s="1" t="s">
        <v>5164</v>
      </c>
      <c r="K753" s="17"/>
      <c r="L753" s="54">
        <v>0.06</v>
      </c>
      <c r="M753" s="39"/>
      <c r="N753" s="39"/>
      <c r="O753" s="39"/>
      <c r="P753" s="39"/>
      <c r="Q753" s="39"/>
      <c r="R753" s="39"/>
      <c r="S753" s="39"/>
      <c r="T753" s="39"/>
      <c r="U753" s="39"/>
      <c r="V753" s="39">
        <v>70</v>
      </c>
      <c r="W753" s="92" t="s">
        <v>1699</v>
      </c>
    </row>
    <row r="754" spans="1:23" s="79" customFormat="1" ht="38.25" x14ac:dyDescent="0.2">
      <c r="A754" s="1" t="s">
        <v>289</v>
      </c>
      <c r="B754" s="2" t="s">
        <v>32</v>
      </c>
      <c r="C754" s="2" t="s">
        <v>290</v>
      </c>
      <c r="D754" s="2" t="s">
        <v>92</v>
      </c>
      <c r="E754" s="2">
        <v>2023</v>
      </c>
      <c r="F754" s="2" t="s">
        <v>364</v>
      </c>
      <c r="G754" s="2" t="s">
        <v>3095</v>
      </c>
      <c r="H754" s="2" t="s">
        <v>3092</v>
      </c>
      <c r="I754" s="1" t="s">
        <v>14</v>
      </c>
      <c r="J754" s="1" t="s">
        <v>5164</v>
      </c>
      <c r="K754" s="17"/>
      <c r="L754" s="54"/>
      <c r="M754" s="39"/>
      <c r="N754" s="39"/>
      <c r="O754" s="39"/>
      <c r="P754" s="39"/>
      <c r="Q754" s="39"/>
      <c r="R754" s="39"/>
      <c r="S754" s="39"/>
      <c r="T754" s="39"/>
      <c r="U754" s="39"/>
      <c r="V754" s="39"/>
      <c r="W754" s="92" t="s">
        <v>5158</v>
      </c>
    </row>
    <row r="755" spans="1:23" s="79" customFormat="1" ht="63.75" x14ac:dyDescent="0.2">
      <c r="A755" s="1" t="s">
        <v>1088</v>
      </c>
      <c r="B755" s="2" t="s">
        <v>196</v>
      </c>
      <c r="C755" s="2" t="s">
        <v>1089</v>
      </c>
      <c r="D755" s="2" t="s">
        <v>85</v>
      </c>
      <c r="E755" s="2">
        <v>2023</v>
      </c>
      <c r="F755" s="2" t="s">
        <v>364</v>
      </c>
      <c r="G755" s="2" t="s">
        <v>3092</v>
      </c>
      <c r="H755" s="2" t="s">
        <v>3092</v>
      </c>
      <c r="I755" s="1" t="s">
        <v>5165</v>
      </c>
      <c r="J755" s="1" t="s">
        <v>5166</v>
      </c>
      <c r="K755" s="17"/>
      <c r="L755" s="54">
        <v>0.37</v>
      </c>
      <c r="M755" s="39"/>
      <c r="N755" s="39"/>
      <c r="O755" s="39">
        <v>233</v>
      </c>
      <c r="P755" s="39"/>
      <c r="Q755" s="39"/>
      <c r="R755" s="39"/>
      <c r="S755" s="39"/>
      <c r="T755" s="39"/>
      <c r="U755" s="39"/>
      <c r="V755" s="39"/>
      <c r="W755" s="92"/>
    </row>
    <row r="756" spans="1:23" s="79" customFormat="1" ht="76.5" x14ac:dyDescent="0.2">
      <c r="A756" s="1" t="s">
        <v>1088</v>
      </c>
      <c r="B756" s="2" t="s">
        <v>196</v>
      </c>
      <c r="C756" s="2" t="s">
        <v>1089</v>
      </c>
      <c r="D756" s="2" t="s">
        <v>85</v>
      </c>
      <c r="E756" s="2">
        <v>2023</v>
      </c>
      <c r="F756" s="2" t="s">
        <v>388</v>
      </c>
      <c r="G756" s="2" t="s">
        <v>3092</v>
      </c>
      <c r="H756" s="2" t="s">
        <v>3092</v>
      </c>
      <c r="I756" s="1" t="s">
        <v>5167</v>
      </c>
      <c r="J756" s="1" t="s">
        <v>5168</v>
      </c>
      <c r="K756" s="17"/>
      <c r="L756" s="54">
        <v>0.43</v>
      </c>
      <c r="M756" s="39"/>
      <c r="N756" s="39"/>
      <c r="O756" s="39">
        <v>105</v>
      </c>
      <c r="P756" s="39"/>
      <c r="Q756" s="39"/>
      <c r="R756" s="39"/>
      <c r="S756" s="39"/>
      <c r="T756" s="39"/>
      <c r="U756" s="39"/>
      <c r="V756" s="39"/>
      <c r="W756" s="92"/>
    </row>
    <row r="757" spans="1:23" s="79" customFormat="1" ht="38.25" x14ac:dyDescent="0.2">
      <c r="A757" s="1" t="s">
        <v>319</v>
      </c>
      <c r="B757" s="2" t="s">
        <v>318</v>
      </c>
      <c r="C757" s="2" t="s">
        <v>320</v>
      </c>
      <c r="D757" s="2" t="s">
        <v>305</v>
      </c>
      <c r="E757" s="2">
        <v>2023</v>
      </c>
      <c r="F757" s="2" t="s">
        <v>311</v>
      </c>
      <c r="G757" s="2" t="s">
        <v>3092</v>
      </c>
      <c r="H757" s="2" t="s">
        <v>3092</v>
      </c>
      <c r="I757" s="1" t="s">
        <v>5169</v>
      </c>
      <c r="J757" s="1" t="s">
        <v>5170</v>
      </c>
      <c r="K757" s="17"/>
      <c r="L757" s="54"/>
      <c r="M757" s="39"/>
      <c r="N757" s="39"/>
      <c r="O757" s="39"/>
      <c r="P757" s="39"/>
      <c r="Q757" s="39"/>
      <c r="R757" s="39"/>
      <c r="S757" s="39"/>
      <c r="T757" s="39"/>
      <c r="U757" s="39"/>
      <c r="V757" s="39"/>
      <c r="W757" s="92" t="s">
        <v>1683</v>
      </c>
    </row>
    <row r="758" spans="1:23" s="79" customFormat="1" ht="38.25" x14ac:dyDescent="0.2">
      <c r="A758" s="1" t="s">
        <v>365</v>
      </c>
      <c r="B758" s="2" t="s">
        <v>264</v>
      </c>
      <c r="C758" s="2" t="s">
        <v>366</v>
      </c>
      <c r="D758" s="2" t="s">
        <v>367</v>
      </c>
      <c r="E758" s="2">
        <v>2023</v>
      </c>
      <c r="F758" s="2" t="s">
        <v>276</v>
      </c>
      <c r="G758" s="2" t="s">
        <v>3092</v>
      </c>
      <c r="H758" s="2" t="s">
        <v>3092</v>
      </c>
      <c r="I758" s="1" t="s">
        <v>5171</v>
      </c>
      <c r="J758" s="1" t="s">
        <v>5172</v>
      </c>
      <c r="K758" s="17"/>
      <c r="L758" s="54" t="s">
        <v>1670</v>
      </c>
      <c r="M758" s="39"/>
      <c r="N758" s="39"/>
      <c r="O758" s="39"/>
      <c r="P758" s="39"/>
      <c r="Q758" s="39"/>
      <c r="R758" s="39"/>
      <c r="S758" s="39"/>
      <c r="T758" s="39"/>
      <c r="U758" s="39"/>
      <c r="V758" s="39">
        <f>42000*0.004546</f>
        <v>190.93199999999999</v>
      </c>
      <c r="W758" s="92" t="s">
        <v>1701</v>
      </c>
    </row>
    <row r="759" spans="1:23" s="79" customFormat="1" ht="89.25" x14ac:dyDescent="0.2">
      <c r="A759" s="1" t="s">
        <v>5173</v>
      </c>
      <c r="B759" s="2" t="s">
        <v>198</v>
      </c>
      <c r="C759" s="2" t="s">
        <v>5174</v>
      </c>
      <c r="D759" s="2" t="s">
        <v>283</v>
      </c>
      <c r="E759" s="2">
        <v>2023</v>
      </c>
      <c r="F759" s="2" t="s">
        <v>311</v>
      </c>
      <c r="G759" s="2" t="s">
        <v>3092</v>
      </c>
      <c r="H759" s="2" t="s">
        <v>3092</v>
      </c>
      <c r="I759" s="1" t="s">
        <v>5175</v>
      </c>
      <c r="J759" s="1" t="s">
        <v>5176</v>
      </c>
      <c r="K759" s="17"/>
      <c r="L759" s="54" t="s">
        <v>1670</v>
      </c>
      <c r="M759" s="39"/>
      <c r="N759" s="39"/>
      <c r="O759" s="39"/>
      <c r="P759" s="39"/>
      <c r="Q759" s="39"/>
      <c r="R759" s="39"/>
      <c r="S759" s="39"/>
      <c r="T759" s="39"/>
      <c r="U759" s="39"/>
      <c r="V759" s="39">
        <v>35.68</v>
      </c>
      <c r="W759" s="92" t="s">
        <v>1682</v>
      </c>
    </row>
    <row r="760" spans="1:23" s="79" customFormat="1" ht="25.5" x14ac:dyDescent="0.2">
      <c r="A760" s="1" t="s">
        <v>298</v>
      </c>
      <c r="B760" s="2" t="s">
        <v>299</v>
      </c>
      <c r="C760" s="2" t="s">
        <v>300</v>
      </c>
      <c r="D760" s="2" t="s">
        <v>197</v>
      </c>
      <c r="E760" s="2">
        <v>2023</v>
      </c>
      <c r="F760" s="2" t="s">
        <v>221</v>
      </c>
      <c r="G760" s="2" t="s">
        <v>3092</v>
      </c>
      <c r="H760" s="2" t="s">
        <v>3092</v>
      </c>
      <c r="I760" s="1" t="s">
        <v>5177</v>
      </c>
      <c r="J760" s="1" t="s">
        <v>5178</v>
      </c>
      <c r="K760" s="17"/>
      <c r="L760" s="54" t="s">
        <v>1670</v>
      </c>
      <c r="M760" s="39"/>
      <c r="N760" s="39"/>
      <c r="O760" s="39"/>
      <c r="P760" s="39"/>
      <c r="Q760" s="39"/>
      <c r="R760" s="39"/>
      <c r="S760" s="39">
        <f>3000*0.004546</f>
        <v>13.638</v>
      </c>
      <c r="T760" s="39"/>
      <c r="U760" s="39"/>
      <c r="V760" s="39"/>
      <c r="W760" s="92" t="s">
        <v>1701</v>
      </c>
    </row>
    <row r="761" spans="1:23" s="79" customFormat="1" ht="25.5" x14ac:dyDescent="0.2">
      <c r="A761" s="1" t="s">
        <v>298</v>
      </c>
      <c r="B761" s="2" t="s">
        <v>299</v>
      </c>
      <c r="C761" s="2" t="s">
        <v>300</v>
      </c>
      <c r="D761" s="2" t="s">
        <v>197</v>
      </c>
      <c r="E761" s="2">
        <v>2023</v>
      </c>
      <c r="F761" s="2" t="s">
        <v>364</v>
      </c>
      <c r="G761" s="2" t="s">
        <v>3092</v>
      </c>
      <c r="H761" s="2" t="s">
        <v>3092</v>
      </c>
      <c r="I761" s="1" t="s">
        <v>5179</v>
      </c>
      <c r="J761" s="1" t="s">
        <v>5179</v>
      </c>
      <c r="K761" s="17"/>
      <c r="L761" s="54" t="s">
        <v>1670</v>
      </c>
      <c r="M761" s="39"/>
      <c r="N761" s="39"/>
      <c r="O761" s="39"/>
      <c r="P761" s="39"/>
      <c r="Q761" s="39"/>
      <c r="R761" s="39"/>
      <c r="S761" s="39">
        <f>3000*0.004546</f>
        <v>13.638</v>
      </c>
      <c r="T761" s="39"/>
      <c r="U761" s="39"/>
      <c r="V761" s="39"/>
      <c r="W761" s="92" t="s">
        <v>1701</v>
      </c>
    </row>
    <row r="762" spans="1:23" s="79" customFormat="1" ht="63.75" x14ac:dyDescent="0.2">
      <c r="A762" s="1" t="s">
        <v>78</v>
      </c>
      <c r="B762" s="2" t="s">
        <v>24</v>
      </c>
      <c r="C762" s="2" t="s">
        <v>79</v>
      </c>
      <c r="D762" s="2" t="s">
        <v>80</v>
      </c>
      <c r="E762" s="2">
        <v>2023</v>
      </c>
      <c r="F762" s="2" t="s">
        <v>13</v>
      </c>
      <c r="G762" s="2" t="s">
        <v>3095</v>
      </c>
      <c r="H762" s="2" t="s">
        <v>3092</v>
      </c>
      <c r="I762" s="1" t="s">
        <v>14</v>
      </c>
      <c r="J762" s="1" t="s">
        <v>5180</v>
      </c>
      <c r="K762" s="17"/>
      <c r="L762" s="54">
        <v>0.23</v>
      </c>
      <c r="M762" s="39"/>
      <c r="N762" s="39"/>
      <c r="O762" s="39">
        <f>134.7+159.52+341.78</f>
        <v>636</v>
      </c>
      <c r="P762" s="39"/>
      <c r="Q762" s="39"/>
      <c r="R762" s="39"/>
      <c r="S762" s="39"/>
      <c r="T762" s="39"/>
      <c r="U762" s="39"/>
      <c r="V762" s="39"/>
      <c r="W762" s="92" t="s">
        <v>1737</v>
      </c>
    </row>
    <row r="763" spans="1:23" s="79" customFormat="1" ht="51" x14ac:dyDescent="0.2">
      <c r="A763" s="1" t="s">
        <v>78</v>
      </c>
      <c r="B763" s="2" t="s">
        <v>24</v>
      </c>
      <c r="C763" s="2" t="s">
        <v>79</v>
      </c>
      <c r="D763" s="2" t="s">
        <v>80</v>
      </c>
      <c r="E763" s="2">
        <v>2023</v>
      </c>
      <c r="F763" s="2" t="s">
        <v>188</v>
      </c>
      <c r="G763" s="2" t="s">
        <v>3095</v>
      </c>
      <c r="H763" s="2" t="s">
        <v>3092</v>
      </c>
      <c r="I763" s="1" t="s">
        <v>14</v>
      </c>
      <c r="J763" s="1" t="s">
        <v>5181</v>
      </c>
      <c r="K763" s="17"/>
      <c r="L763" s="54">
        <v>0.23799999999999999</v>
      </c>
      <c r="M763" s="39"/>
      <c r="N763" s="39"/>
      <c r="O763" s="39">
        <f>106.62+419.3</f>
        <v>525.92000000000007</v>
      </c>
      <c r="P763" s="39"/>
      <c r="Q763" s="39"/>
      <c r="R763" s="39"/>
      <c r="S763" s="39"/>
      <c r="T763" s="39"/>
      <c r="U763" s="39"/>
      <c r="V763" s="39"/>
      <c r="W763" s="92" t="s">
        <v>1737</v>
      </c>
    </row>
    <row r="764" spans="1:23" s="79" customFormat="1" ht="38.25" x14ac:dyDescent="0.2">
      <c r="A764" s="1" t="s">
        <v>78</v>
      </c>
      <c r="B764" s="2" t="s">
        <v>24</v>
      </c>
      <c r="C764" s="2" t="s">
        <v>79</v>
      </c>
      <c r="D764" s="2" t="s">
        <v>80</v>
      </c>
      <c r="E764" s="2">
        <v>2023</v>
      </c>
      <c r="F764" s="2" t="s">
        <v>203</v>
      </c>
      <c r="G764" s="2" t="s">
        <v>3095</v>
      </c>
      <c r="H764" s="2" t="s">
        <v>3092</v>
      </c>
      <c r="I764" s="1" t="s">
        <v>14</v>
      </c>
      <c r="J764" s="1" t="s">
        <v>5182</v>
      </c>
      <c r="K764" s="17"/>
      <c r="L764" s="54">
        <v>0.23799999999999999</v>
      </c>
      <c r="M764" s="39"/>
      <c r="N764" s="39"/>
      <c r="O764" s="39">
        <f>350.2+240.3</f>
        <v>590.5</v>
      </c>
      <c r="P764" s="39"/>
      <c r="Q764" s="39"/>
      <c r="R764" s="39"/>
      <c r="S764" s="39"/>
      <c r="T764" s="39"/>
      <c r="U764" s="39"/>
      <c r="V764" s="39"/>
      <c r="W764" s="92" t="s">
        <v>1737</v>
      </c>
    </row>
    <row r="765" spans="1:23" s="79" customFormat="1" ht="25.5" x14ac:dyDescent="0.2">
      <c r="A765" s="1" t="s">
        <v>78</v>
      </c>
      <c r="B765" s="2" t="s">
        <v>24</v>
      </c>
      <c r="C765" s="2" t="s">
        <v>79</v>
      </c>
      <c r="D765" s="2" t="s">
        <v>80</v>
      </c>
      <c r="E765" s="2">
        <v>2023</v>
      </c>
      <c r="F765" s="2" t="s">
        <v>211</v>
      </c>
      <c r="G765" s="2" t="s">
        <v>3095</v>
      </c>
      <c r="H765" s="2" t="s">
        <v>3092</v>
      </c>
      <c r="I765" s="1" t="s">
        <v>14</v>
      </c>
      <c r="J765" s="1" t="s">
        <v>5183</v>
      </c>
      <c r="K765" s="17"/>
      <c r="L765" s="54">
        <v>0.24</v>
      </c>
      <c r="M765" s="39"/>
      <c r="N765" s="39"/>
      <c r="O765" s="39">
        <v>394.8</v>
      </c>
      <c r="P765" s="39"/>
      <c r="Q765" s="39"/>
      <c r="R765" s="39"/>
      <c r="S765" s="39"/>
      <c r="T765" s="39"/>
      <c r="U765" s="39"/>
      <c r="V765" s="39"/>
      <c r="W765" s="92" t="s">
        <v>1737</v>
      </c>
    </row>
    <row r="766" spans="1:23" s="79" customFormat="1" ht="153" x14ac:dyDescent="0.2">
      <c r="A766" s="1" t="s">
        <v>78</v>
      </c>
      <c r="B766" s="2" t="s">
        <v>24</v>
      </c>
      <c r="C766" s="2" t="s">
        <v>79</v>
      </c>
      <c r="D766" s="2" t="s">
        <v>80</v>
      </c>
      <c r="E766" s="2">
        <v>2023</v>
      </c>
      <c r="F766" s="2" t="s">
        <v>221</v>
      </c>
      <c r="G766" s="2" t="s">
        <v>3095</v>
      </c>
      <c r="H766" s="2" t="s">
        <v>3092</v>
      </c>
      <c r="I766" s="1" t="s">
        <v>14</v>
      </c>
      <c r="J766" s="1" t="s">
        <v>5184</v>
      </c>
      <c r="K766" s="17"/>
      <c r="L766" s="54">
        <v>0.24199999999999999</v>
      </c>
      <c r="M766" s="39"/>
      <c r="N766" s="39"/>
      <c r="O766" s="39">
        <v>667.8</v>
      </c>
      <c r="P766" s="39"/>
      <c r="Q766" s="39"/>
      <c r="R766" s="39"/>
      <c r="S766" s="39"/>
      <c r="T766" s="39"/>
      <c r="U766" s="39"/>
      <c r="V766" s="39"/>
      <c r="W766" s="92" t="s">
        <v>1737</v>
      </c>
    </row>
    <row r="767" spans="1:23" s="79" customFormat="1" ht="63.75" x14ac:dyDescent="0.2">
      <c r="A767" s="1" t="s">
        <v>78</v>
      </c>
      <c r="B767" s="2" t="s">
        <v>24</v>
      </c>
      <c r="C767" s="2" t="s">
        <v>79</v>
      </c>
      <c r="D767" s="2" t="s">
        <v>80</v>
      </c>
      <c r="E767" s="2">
        <v>2023</v>
      </c>
      <c r="F767" s="2" t="s">
        <v>256</v>
      </c>
      <c r="G767" s="2" t="s">
        <v>3095</v>
      </c>
      <c r="H767" s="2" t="s">
        <v>3092</v>
      </c>
      <c r="I767" s="1" t="s">
        <v>14</v>
      </c>
      <c r="J767" s="1" t="s">
        <v>5185</v>
      </c>
      <c r="K767" s="17"/>
      <c r="L767" s="54">
        <v>0.247</v>
      </c>
      <c r="M767" s="39"/>
      <c r="N767" s="39"/>
      <c r="O767" s="39">
        <v>672.6</v>
      </c>
      <c r="P767" s="39"/>
      <c r="Q767" s="39"/>
      <c r="R767" s="39"/>
      <c r="S767" s="39"/>
      <c r="T767" s="39"/>
      <c r="U767" s="39"/>
      <c r="V767" s="39"/>
      <c r="W767" s="92" t="s">
        <v>1737</v>
      </c>
    </row>
    <row r="768" spans="1:23" s="79" customFormat="1" ht="76.5" x14ac:dyDescent="0.2">
      <c r="A768" s="1" t="s">
        <v>78</v>
      </c>
      <c r="B768" s="2" t="s">
        <v>24</v>
      </c>
      <c r="C768" s="2" t="s">
        <v>79</v>
      </c>
      <c r="D768" s="2" t="s">
        <v>80</v>
      </c>
      <c r="E768" s="2">
        <v>2023</v>
      </c>
      <c r="F768" s="2" t="s">
        <v>276</v>
      </c>
      <c r="G768" s="2" t="s">
        <v>3095</v>
      </c>
      <c r="H768" s="2" t="s">
        <v>3092</v>
      </c>
      <c r="I768" s="1" t="s">
        <v>14</v>
      </c>
      <c r="J768" s="1" t="s">
        <v>5186</v>
      </c>
      <c r="K768" s="17"/>
      <c r="L768" s="54">
        <v>0.246</v>
      </c>
      <c r="M768" s="39"/>
      <c r="N768" s="39"/>
      <c r="O768" s="39">
        <v>624.76</v>
      </c>
      <c r="P768" s="39"/>
      <c r="Q768" s="39"/>
      <c r="R768" s="39"/>
      <c r="S768" s="39"/>
      <c r="T768" s="39"/>
      <c r="U768" s="39"/>
      <c r="V768" s="39"/>
      <c r="W768" s="92" t="s">
        <v>1737</v>
      </c>
    </row>
    <row r="769" spans="1:24" s="79" customFormat="1" ht="89.25" x14ac:dyDescent="0.2">
      <c r="A769" s="1" t="s">
        <v>78</v>
      </c>
      <c r="B769" s="2" t="s">
        <v>24</v>
      </c>
      <c r="C769" s="2" t="s">
        <v>79</v>
      </c>
      <c r="D769" s="2" t="s">
        <v>80</v>
      </c>
      <c r="E769" s="2">
        <v>2023</v>
      </c>
      <c r="F769" s="2" t="s">
        <v>291</v>
      </c>
      <c r="G769" s="2" t="s">
        <v>3095</v>
      </c>
      <c r="H769" s="2" t="s">
        <v>3092</v>
      </c>
      <c r="I769" s="1" t="s">
        <v>14</v>
      </c>
      <c r="J769" s="1" t="s">
        <v>5187</v>
      </c>
      <c r="K769" s="17"/>
      <c r="L769" s="54">
        <v>0.23799999999999999</v>
      </c>
      <c r="M769" s="39"/>
      <c r="N769" s="39"/>
      <c r="O769" s="39">
        <f>574.69+66.16</f>
        <v>640.85</v>
      </c>
      <c r="P769" s="39"/>
      <c r="Q769" s="39"/>
      <c r="R769" s="39"/>
      <c r="S769" s="39"/>
      <c r="T769" s="39"/>
      <c r="U769" s="39"/>
      <c r="V769" s="39"/>
      <c r="W769" s="92" t="s">
        <v>1737</v>
      </c>
    </row>
    <row r="770" spans="1:24" s="79" customFormat="1" ht="102" x14ac:dyDescent="0.2">
      <c r="A770" s="1" t="s">
        <v>78</v>
      </c>
      <c r="B770" s="2" t="s">
        <v>24</v>
      </c>
      <c r="C770" s="2" t="s">
        <v>79</v>
      </c>
      <c r="D770" s="2" t="s">
        <v>80</v>
      </c>
      <c r="E770" s="2">
        <v>2023</v>
      </c>
      <c r="F770" s="2" t="s">
        <v>311</v>
      </c>
      <c r="G770" s="2" t="s">
        <v>3095</v>
      </c>
      <c r="H770" s="2" t="s">
        <v>3092</v>
      </c>
      <c r="I770" s="1" t="s">
        <v>14</v>
      </c>
      <c r="J770" s="1" t="s">
        <v>5188</v>
      </c>
      <c r="K770" s="17"/>
      <c r="L770" s="54">
        <v>0.23799999999999999</v>
      </c>
      <c r="M770" s="39"/>
      <c r="N770" s="39"/>
      <c r="O770" s="39">
        <f>280+315</f>
        <v>595</v>
      </c>
      <c r="P770" s="39"/>
      <c r="Q770" s="39"/>
      <c r="R770" s="39"/>
      <c r="S770" s="39"/>
      <c r="T770" s="39"/>
      <c r="U770" s="39"/>
      <c r="V770" s="39"/>
      <c r="W770" s="92" t="s">
        <v>1737</v>
      </c>
    </row>
    <row r="771" spans="1:24" s="79" customFormat="1" ht="114.75" x14ac:dyDescent="0.2">
      <c r="A771" s="1" t="s">
        <v>78</v>
      </c>
      <c r="B771" s="2" t="s">
        <v>24</v>
      </c>
      <c r="C771" s="2" t="s">
        <v>79</v>
      </c>
      <c r="D771" s="2" t="s">
        <v>80</v>
      </c>
      <c r="E771" s="2">
        <v>2023</v>
      </c>
      <c r="F771" s="2" t="s">
        <v>337</v>
      </c>
      <c r="G771" s="2" t="s">
        <v>3095</v>
      </c>
      <c r="H771" s="2" t="s">
        <v>3092</v>
      </c>
      <c r="I771" s="1" t="s">
        <v>14</v>
      </c>
      <c r="J771" s="1" t="s">
        <v>5189</v>
      </c>
      <c r="K771" s="17"/>
      <c r="L771" s="54">
        <v>0.23899999999999999</v>
      </c>
      <c r="M771" s="39"/>
      <c r="N771" s="39"/>
      <c r="O771" s="39">
        <f>493.36+117.88</f>
        <v>611.24</v>
      </c>
      <c r="P771" s="39"/>
      <c r="Q771" s="39"/>
      <c r="R771" s="39"/>
      <c r="S771" s="39"/>
      <c r="T771" s="39"/>
      <c r="U771" s="39"/>
      <c r="V771" s="39"/>
      <c r="W771" s="92" t="s">
        <v>1737</v>
      </c>
    </row>
    <row r="772" spans="1:24" s="79" customFormat="1" ht="102" x14ac:dyDescent="0.2">
      <c r="A772" s="1" t="s">
        <v>78</v>
      </c>
      <c r="B772" s="2" t="s">
        <v>24</v>
      </c>
      <c r="C772" s="2" t="s">
        <v>79</v>
      </c>
      <c r="D772" s="2" t="s">
        <v>80</v>
      </c>
      <c r="E772" s="2">
        <v>2023</v>
      </c>
      <c r="F772" s="2" t="s">
        <v>364</v>
      </c>
      <c r="G772" s="2" t="s">
        <v>3095</v>
      </c>
      <c r="H772" s="2" t="s">
        <v>3092</v>
      </c>
      <c r="I772" s="1" t="s">
        <v>14</v>
      </c>
      <c r="J772" s="1" t="s">
        <v>5190</v>
      </c>
      <c r="K772" s="17"/>
      <c r="L772" s="54">
        <v>0.23599999999999999</v>
      </c>
      <c r="M772" s="39"/>
      <c r="N772" s="39"/>
      <c r="O772" s="39">
        <f>584.9+67</f>
        <v>651.9</v>
      </c>
      <c r="P772" s="39"/>
      <c r="Q772" s="39"/>
      <c r="R772" s="39"/>
      <c r="S772" s="39"/>
      <c r="T772" s="39"/>
      <c r="U772" s="39"/>
      <c r="V772" s="39"/>
      <c r="W772" s="92" t="s">
        <v>1737</v>
      </c>
    </row>
    <row r="773" spans="1:24" s="79" customFormat="1" ht="114.75" x14ac:dyDescent="0.2">
      <c r="A773" s="1" t="s">
        <v>78</v>
      </c>
      <c r="B773" s="2" t="s">
        <v>24</v>
      </c>
      <c r="C773" s="2" t="s">
        <v>79</v>
      </c>
      <c r="D773" s="2" t="s">
        <v>80</v>
      </c>
      <c r="E773" s="2">
        <v>2023</v>
      </c>
      <c r="F773" s="2" t="s">
        <v>388</v>
      </c>
      <c r="G773" s="2" t="s">
        <v>3095</v>
      </c>
      <c r="H773" s="2" t="s">
        <v>3092</v>
      </c>
      <c r="I773" s="1" t="s">
        <v>14</v>
      </c>
      <c r="J773" s="1" t="s">
        <v>5191</v>
      </c>
      <c r="K773" s="17"/>
      <c r="L773" s="54">
        <v>0.24099999999999999</v>
      </c>
      <c r="M773" s="39"/>
      <c r="N773" s="39"/>
      <c r="O773" s="39">
        <v>512</v>
      </c>
      <c r="P773" s="39"/>
      <c r="Q773" s="39"/>
      <c r="R773" s="39"/>
      <c r="S773" s="39">
        <v>12.4</v>
      </c>
      <c r="T773" s="39"/>
      <c r="U773" s="39"/>
      <c r="V773" s="39"/>
      <c r="W773" s="92" t="s">
        <v>1737</v>
      </c>
    </row>
    <row r="774" spans="1:24" s="79" customFormat="1" ht="191.25" x14ac:dyDescent="0.2">
      <c r="A774" s="1" t="s">
        <v>5192</v>
      </c>
      <c r="B774" s="2" t="s">
        <v>196</v>
      </c>
      <c r="C774" s="2" t="s">
        <v>5193</v>
      </c>
      <c r="D774" s="2" t="s">
        <v>108</v>
      </c>
      <c r="E774" s="2">
        <v>2023</v>
      </c>
      <c r="F774" s="2" t="s">
        <v>291</v>
      </c>
      <c r="G774" s="2" t="s">
        <v>3092</v>
      </c>
      <c r="H774" s="2" t="s">
        <v>3092</v>
      </c>
      <c r="I774" s="1" t="s">
        <v>5194</v>
      </c>
      <c r="J774" s="1" t="s">
        <v>5195</v>
      </c>
      <c r="K774" s="17"/>
      <c r="L774" s="54">
        <v>0.23499999999999999</v>
      </c>
      <c r="M774" s="39"/>
      <c r="N774" s="39"/>
      <c r="O774" s="39">
        <f>(85.65/0.27)+(23.86/0.27)+(66.34/0.22)+(58.08/0.2)</f>
        <v>997.53804713804709</v>
      </c>
      <c r="P774" s="39"/>
      <c r="Q774" s="39"/>
      <c r="R774" s="39"/>
      <c r="S774" s="39"/>
      <c r="T774" s="39"/>
      <c r="U774" s="39"/>
      <c r="V774" s="39"/>
      <c r="W774" s="92"/>
    </row>
    <row r="775" spans="1:24" s="79" customFormat="1" ht="63.75" x14ac:dyDescent="0.2">
      <c r="A775" s="1" t="s">
        <v>5196</v>
      </c>
      <c r="B775" s="2" t="s">
        <v>222</v>
      </c>
      <c r="C775" s="2" t="s">
        <v>5197</v>
      </c>
      <c r="D775" s="2" t="s">
        <v>3227</v>
      </c>
      <c r="E775" s="2">
        <v>2023</v>
      </c>
      <c r="F775" s="2" t="s">
        <v>364</v>
      </c>
      <c r="G775" s="2" t="s">
        <v>3092</v>
      </c>
      <c r="H775" s="2" t="s">
        <v>3092</v>
      </c>
      <c r="I775" s="1" t="s">
        <v>5198</v>
      </c>
      <c r="J775" s="1" t="s">
        <v>5199</v>
      </c>
      <c r="K775" s="17"/>
      <c r="L775" s="54"/>
      <c r="M775" s="39"/>
      <c r="N775" s="39"/>
      <c r="O775" s="39"/>
      <c r="P775" s="39"/>
      <c r="Q775" s="39"/>
      <c r="R775" s="39"/>
      <c r="S775" s="39"/>
      <c r="T775" s="39"/>
      <c r="U775" s="39"/>
      <c r="V775" s="39"/>
      <c r="W775" s="92" t="s">
        <v>1693</v>
      </c>
    </row>
    <row r="776" spans="1:24" s="79" customFormat="1" ht="25.5" x14ac:dyDescent="0.2">
      <c r="A776" s="1" t="s">
        <v>5196</v>
      </c>
      <c r="B776" s="2" t="s">
        <v>222</v>
      </c>
      <c r="C776" s="2" t="s">
        <v>5197</v>
      </c>
      <c r="D776" s="2" t="s">
        <v>3227</v>
      </c>
      <c r="E776" s="2">
        <v>2023</v>
      </c>
      <c r="F776" s="2" t="s">
        <v>388</v>
      </c>
      <c r="G776" s="2" t="s">
        <v>3092</v>
      </c>
      <c r="H776" s="2" t="s">
        <v>3092</v>
      </c>
      <c r="I776" s="1" t="s">
        <v>5200</v>
      </c>
      <c r="J776" s="1" t="s">
        <v>5201</v>
      </c>
      <c r="K776" s="17"/>
      <c r="L776" s="58"/>
      <c r="M776" s="59"/>
      <c r="N776" s="59"/>
      <c r="O776" s="59"/>
      <c r="P776" s="59"/>
      <c r="Q776" s="59"/>
      <c r="R776" s="59"/>
      <c r="S776" s="59"/>
      <c r="T776" s="59"/>
      <c r="U776" s="59"/>
      <c r="V776" s="59"/>
      <c r="W776" s="92" t="s">
        <v>1693</v>
      </c>
      <c r="X776"/>
    </row>
    <row r="777" spans="1:24" s="79" customFormat="1" ht="51" x14ac:dyDescent="0.2">
      <c r="A777" s="1" t="s">
        <v>209</v>
      </c>
      <c r="B777" s="2" t="s">
        <v>10</v>
      </c>
      <c r="C777" s="2" t="s">
        <v>210</v>
      </c>
      <c r="D777" s="2" t="s">
        <v>12</v>
      </c>
      <c r="E777" s="2">
        <v>2023</v>
      </c>
      <c r="F777" s="2" t="s">
        <v>13</v>
      </c>
      <c r="G777" s="2" t="s">
        <v>3095</v>
      </c>
      <c r="H777" s="2" t="s">
        <v>3092</v>
      </c>
      <c r="I777" s="1" t="s">
        <v>14</v>
      </c>
      <c r="J777" s="1" t="s">
        <v>5202</v>
      </c>
      <c r="K777" s="17"/>
      <c r="L777" s="54"/>
      <c r="M777" s="39"/>
      <c r="N777" s="39"/>
      <c r="O777" s="39"/>
      <c r="P777" s="39"/>
      <c r="Q777" s="39"/>
      <c r="R777" s="39"/>
      <c r="S777" s="39"/>
      <c r="T777" s="39"/>
      <c r="U777" s="39"/>
      <c r="V777" s="39"/>
      <c r="W777" s="92" t="s">
        <v>1735</v>
      </c>
    </row>
    <row r="778" spans="1:24" s="79" customFormat="1" ht="38.25" x14ac:dyDescent="0.2">
      <c r="A778" s="1" t="s">
        <v>209</v>
      </c>
      <c r="B778" s="2" t="s">
        <v>10</v>
      </c>
      <c r="C778" s="2" t="s">
        <v>210</v>
      </c>
      <c r="D778" s="2" t="s">
        <v>12</v>
      </c>
      <c r="E778" s="2">
        <v>2023</v>
      </c>
      <c r="F778" s="2" t="s">
        <v>203</v>
      </c>
      <c r="G778" s="2" t="s">
        <v>3095</v>
      </c>
      <c r="H778" s="2" t="s">
        <v>3092</v>
      </c>
      <c r="I778" s="1" t="s">
        <v>14</v>
      </c>
      <c r="J778" s="1" t="s">
        <v>5203</v>
      </c>
      <c r="K778" s="17"/>
      <c r="L778" s="54"/>
      <c r="M778" s="39"/>
      <c r="N778" s="39"/>
      <c r="O778" s="39"/>
      <c r="P778" s="39"/>
      <c r="Q778" s="39"/>
      <c r="R778" s="39"/>
      <c r="S778" s="39"/>
      <c r="T778" s="39"/>
      <c r="U778" s="39"/>
      <c r="V778" s="39"/>
      <c r="W778" s="92" t="s">
        <v>1735</v>
      </c>
    </row>
    <row r="779" spans="1:24" s="79" customFormat="1" ht="51" x14ac:dyDescent="0.2">
      <c r="A779" s="1" t="s">
        <v>209</v>
      </c>
      <c r="B779" s="2" t="s">
        <v>10</v>
      </c>
      <c r="C779" s="2" t="s">
        <v>210</v>
      </c>
      <c r="D779" s="2" t="s">
        <v>12</v>
      </c>
      <c r="E779" s="2">
        <v>2023</v>
      </c>
      <c r="F779" s="2" t="s">
        <v>221</v>
      </c>
      <c r="G779" s="2" t="s">
        <v>3095</v>
      </c>
      <c r="H779" s="2" t="s">
        <v>3092</v>
      </c>
      <c r="I779" s="1" t="s">
        <v>14</v>
      </c>
      <c r="J779" s="1" t="s">
        <v>5204</v>
      </c>
      <c r="K779" s="17"/>
      <c r="L779" s="54"/>
      <c r="M779" s="39"/>
      <c r="N779" s="39"/>
      <c r="O779" s="39"/>
      <c r="P779" s="39"/>
      <c r="Q779" s="39"/>
      <c r="R779" s="39"/>
      <c r="S779" s="39"/>
      <c r="T779" s="39"/>
      <c r="U779" s="39"/>
      <c r="V779" s="39"/>
      <c r="W779" s="92" t="s">
        <v>1735</v>
      </c>
    </row>
    <row r="780" spans="1:24" s="79" customFormat="1" ht="51" x14ac:dyDescent="0.2">
      <c r="A780" s="1" t="s">
        <v>209</v>
      </c>
      <c r="B780" s="2" t="s">
        <v>10</v>
      </c>
      <c r="C780" s="2" t="s">
        <v>210</v>
      </c>
      <c r="D780" s="2" t="s">
        <v>12</v>
      </c>
      <c r="E780" s="2">
        <v>2023</v>
      </c>
      <c r="F780" s="2" t="s">
        <v>291</v>
      </c>
      <c r="G780" s="2" t="s">
        <v>3095</v>
      </c>
      <c r="H780" s="2" t="s">
        <v>3092</v>
      </c>
      <c r="I780" s="1" t="s">
        <v>14</v>
      </c>
      <c r="J780" s="1" t="s">
        <v>5205</v>
      </c>
      <c r="K780" s="17"/>
      <c r="L780" s="54"/>
      <c r="M780" s="39"/>
      <c r="N780" s="39"/>
      <c r="O780" s="39"/>
      <c r="P780" s="39"/>
      <c r="Q780" s="39"/>
      <c r="R780" s="39"/>
      <c r="S780" s="39"/>
      <c r="T780" s="39"/>
      <c r="U780" s="39"/>
      <c r="V780" s="39"/>
      <c r="W780" s="92" t="s">
        <v>1735</v>
      </c>
    </row>
    <row r="781" spans="1:24" s="79" customFormat="1" ht="51" x14ac:dyDescent="0.2">
      <c r="A781" s="1" t="s">
        <v>209</v>
      </c>
      <c r="B781" s="2" t="s">
        <v>10</v>
      </c>
      <c r="C781" s="2" t="s">
        <v>210</v>
      </c>
      <c r="D781" s="2" t="s">
        <v>12</v>
      </c>
      <c r="E781" s="2">
        <v>2023</v>
      </c>
      <c r="F781" s="2" t="s">
        <v>364</v>
      </c>
      <c r="G781" s="2" t="s">
        <v>3095</v>
      </c>
      <c r="H781" s="2" t="s">
        <v>3092</v>
      </c>
      <c r="I781" s="1" t="s">
        <v>14</v>
      </c>
      <c r="J781" s="1" t="s">
        <v>5206</v>
      </c>
      <c r="K781" s="17"/>
      <c r="L781" s="54"/>
      <c r="M781" s="39"/>
      <c r="N781" s="39"/>
      <c r="O781" s="39"/>
      <c r="P781" s="39"/>
      <c r="Q781" s="39"/>
      <c r="R781" s="39"/>
      <c r="S781" s="39"/>
      <c r="T781" s="39"/>
      <c r="U781" s="39"/>
      <c r="V781" s="39"/>
      <c r="W781" s="92" t="s">
        <v>1735</v>
      </c>
    </row>
    <row r="782" spans="1:24" s="79" customFormat="1" ht="25.5" x14ac:dyDescent="0.2">
      <c r="A782" s="1" t="s">
        <v>156</v>
      </c>
      <c r="B782" s="2" t="s">
        <v>48</v>
      </c>
      <c r="C782" s="2" t="s">
        <v>157</v>
      </c>
      <c r="D782" s="2" t="s">
        <v>158</v>
      </c>
      <c r="E782" s="2">
        <v>2023</v>
      </c>
      <c r="F782" s="2" t="s">
        <v>13</v>
      </c>
      <c r="G782" s="2" t="s">
        <v>3095</v>
      </c>
      <c r="H782" s="2" t="s">
        <v>3092</v>
      </c>
      <c r="I782" s="1" t="s">
        <v>14</v>
      </c>
      <c r="J782" s="1" t="s">
        <v>5207</v>
      </c>
      <c r="K782" s="17"/>
      <c r="L782" s="54">
        <v>0.155</v>
      </c>
      <c r="M782" s="39"/>
      <c r="N782" s="39"/>
      <c r="O782" s="39"/>
      <c r="P782" s="39"/>
      <c r="Q782" s="39"/>
      <c r="R782" s="39"/>
      <c r="S782" s="39">
        <v>34.340000000000003</v>
      </c>
      <c r="T782" s="39"/>
      <c r="U782" s="39"/>
      <c r="V782" s="39"/>
      <c r="W782" s="92"/>
    </row>
    <row r="783" spans="1:24" s="79" customFormat="1" ht="25.5" x14ac:dyDescent="0.2">
      <c r="A783" s="1" t="s">
        <v>156</v>
      </c>
      <c r="B783" s="2" t="s">
        <v>48</v>
      </c>
      <c r="C783" s="2" t="s">
        <v>157</v>
      </c>
      <c r="D783" s="2" t="s">
        <v>158</v>
      </c>
      <c r="E783" s="2">
        <v>2023</v>
      </c>
      <c r="F783" s="2" t="s">
        <v>188</v>
      </c>
      <c r="G783" s="2" t="s">
        <v>3095</v>
      </c>
      <c r="H783" s="2" t="s">
        <v>3092</v>
      </c>
      <c r="I783" s="1" t="s">
        <v>14</v>
      </c>
      <c r="J783" s="1" t="s">
        <v>5208</v>
      </c>
      <c r="K783" s="17"/>
      <c r="L783" s="54">
        <v>0.155</v>
      </c>
      <c r="M783" s="39"/>
      <c r="N783" s="39"/>
      <c r="O783" s="39"/>
      <c r="P783" s="39"/>
      <c r="Q783" s="39"/>
      <c r="R783" s="39"/>
      <c r="S783" s="39">
        <v>32.89</v>
      </c>
      <c r="T783" s="39"/>
      <c r="U783" s="39"/>
      <c r="V783" s="39"/>
      <c r="W783" s="92"/>
    </row>
    <row r="784" spans="1:24" s="79" customFormat="1" ht="25.5" x14ac:dyDescent="0.2">
      <c r="A784" s="1" t="s">
        <v>156</v>
      </c>
      <c r="B784" s="2" t="s">
        <v>48</v>
      </c>
      <c r="C784" s="2" t="s">
        <v>157</v>
      </c>
      <c r="D784" s="2" t="s">
        <v>158</v>
      </c>
      <c r="E784" s="2">
        <v>2023</v>
      </c>
      <c r="F784" s="2" t="s">
        <v>203</v>
      </c>
      <c r="G784" s="2" t="s">
        <v>3095</v>
      </c>
      <c r="H784" s="2" t="s">
        <v>3092</v>
      </c>
      <c r="I784" s="1" t="s">
        <v>14</v>
      </c>
      <c r="J784" s="1" t="s">
        <v>5209</v>
      </c>
      <c r="K784" s="17"/>
      <c r="L784" s="54">
        <v>0.15</v>
      </c>
      <c r="M784" s="39"/>
      <c r="N784" s="39"/>
      <c r="O784" s="39"/>
      <c r="P784" s="39"/>
      <c r="Q784" s="39"/>
      <c r="R784" s="39"/>
      <c r="S784" s="39">
        <v>40.299999999999997</v>
      </c>
      <c r="T784" s="39"/>
      <c r="U784" s="39"/>
      <c r="V784" s="39"/>
      <c r="W784" s="92"/>
    </row>
    <row r="785" spans="1:23" s="79" customFormat="1" ht="25.5" x14ac:dyDescent="0.2">
      <c r="A785" s="1" t="s">
        <v>156</v>
      </c>
      <c r="B785" s="2" t="s">
        <v>48</v>
      </c>
      <c r="C785" s="2" t="s">
        <v>157</v>
      </c>
      <c r="D785" s="2" t="s">
        <v>158</v>
      </c>
      <c r="E785" s="2">
        <v>2023</v>
      </c>
      <c r="F785" s="2" t="s">
        <v>211</v>
      </c>
      <c r="G785" s="2" t="s">
        <v>3095</v>
      </c>
      <c r="H785" s="2" t="s">
        <v>3092</v>
      </c>
      <c r="I785" s="1" t="s">
        <v>14</v>
      </c>
      <c r="J785" s="1" t="s">
        <v>5210</v>
      </c>
      <c r="K785" s="17"/>
      <c r="L785" s="54">
        <v>0.15</v>
      </c>
      <c r="M785" s="39"/>
      <c r="N785" s="39"/>
      <c r="O785" s="39"/>
      <c r="P785" s="39"/>
      <c r="Q785" s="39"/>
      <c r="R785" s="39"/>
      <c r="S785" s="39">
        <v>12.64</v>
      </c>
      <c r="T785" s="39"/>
      <c r="U785" s="39"/>
      <c r="V785" s="39"/>
      <c r="W785" s="92"/>
    </row>
    <row r="786" spans="1:23" s="79" customFormat="1" ht="25.5" x14ac:dyDescent="0.2">
      <c r="A786" s="1" t="s">
        <v>156</v>
      </c>
      <c r="B786" s="2" t="s">
        <v>48</v>
      </c>
      <c r="C786" s="2" t="s">
        <v>157</v>
      </c>
      <c r="D786" s="2" t="s">
        <v>158</v>
      </c>
      <c r="E786" s="2">
        <v>2023</v>
      </c>
      <c r="F786" s="2" t="s">
        <v>221</v>
      </c>
      <c r="G786" s="2" t="s">
        <v>3095</v>
      </c>
      <c r="H786" s="2" t="s">
        <v>3092</v>
      </c>
      <c r="I786" s="1" t="s">
        <v>14</v>
      </c>
      <c r="J786" s="1" t="s">
        <v>5211</v>
      </c>
      <c r="K786" s="17"/>
      <c r="L786" s="54">
        <v>0.15</v>
      </c>
      <c r="M786" s="39"/>
      <c r="N786" s="39"/>
      <c r="O786" s="39"/>
      <c r="P786" s="39"/>
      <c r="Q786" s="39"/>
      <c r="R786" s="39"/>
      <c r="S786" s="39">
        <v>22.16</v>
      </c>
      <c r="T786" s="39"/>
      <c r="U786" s="39"/>
      <c r="V786" s="39"/>
      <c r="W786" s="92"/>
    </row>
    <row r="787" spans="1:23" s="79" customFormat="1" ht="25.5" x14ac:dyDescent="0.2">
      <c r="A787" s="1" t="s">
        <v>156</v>
      </c>
      <c r="B787" s="2" t="s">
        <v>48</v>
      </c>
      <c r="C787" s="2" t="s">
        <v>157</v>
      </c>
      <c r="D787" s="2" t="s">
        <v>158</v>
      </c>
      <c r="E787" s="2">
        <v>2023</v>
      </c>
      <c r="F787" s="2" t="s">
        <v>256</v>
      </c>
      <c r="G787" s="2" t="s">
        <v>3095</v>
      </c>
      <c r="H787" s="2" t="s">
        <v>3092</v>
      </c>
      <c r="I787" s="1" t="s">
        <v>14</v>
      </c>
      <c r="J787" s="1" t="s">
        <v>5212</v>
      </c>
      <c r="K787" s="17"/>
      <c r="L787" s="54">
        <v>0.15</v>
      </c>
      <c r="M787" s="39"/>
      <c r="N787" s="39"/>
      <c r="O787" s="39"/>
      <c r="P787" s="39"/>
      <c r="Q787" s="39"/>
      <c r="R787" s="39"/>
      <c r="S787" s="39">
        <v>43.56</v>
      </c>
      <c r="T787" s="39"/>
      <c r="U787" s="39"/>
      <c r="V787" s="39"/>
      <c r="W787" s="92"/>
    </row>
    <row r="788" spans="1:23" s="79" customFormat="1" ht="25.5" x14ac:dyDescent="0.2">
      <c r="A788" s="1" t="s">
        <v>156</v>
      </c>
      <c r="B788" s="2" t="s">
        <v>48</v>
      </c>
      <c r="C788" s="2" t="s">
        <v>157</v>
      </c>
      <c r="D788" s="2" t="s">
        <v>158</v>
      </c>
      <c r="E788" s="2">
        <v>2023</v>
      </c>
      <c r="F788" s="2" t="s">
        <v>276</v>
      </c>
      <c r="G788" s="2" t="s">
        <v>3095</v>
      </c>
      <c r="H788" s="2" t="s">
        <v>3092</v>
      </c>
      <c r="I788" s="1" t="s">
        <v>14</v>
      </c>
      <c r="J788" s="1" t="s">
        <v>5213</v>
      </c>
      <c r="K788" s="17"/>
      <c r="L788" s="54">
        <v>0.15</v>
      </c>
      <c r="M788" s="39"/>
      <c r="N788" s="39"/>
      <c r="O788" s="39"/>
      <c r="P788" s="39"/>
      <c r="Q788" s="39"/>
      <c r="R788" s="39"/>
      <c r="S788" s="39">
        <v>38.18</v>
      </c>
      <c r="T788" s="39"/>
      <c r="U788" s="39"/>
      <c r="V788" s="39"/>
      <c r="W788" s="92"/>
    </row>
    <row r="789" spans="1:23" s="79" customFormat="1" ht="25.5" x14ac:dyDescent="0.2">
      <c r="A789" s="1" t="s">
        <v>156</v>
      </c>
      <c r="B789" s="2" t="s">
        <v>48</v>
      </c>
      <c r="C789" s="2" t="s">
        <v>157</v>
      </c>
      <c r="D789" s="2" t="s">
        <v>158</v>
      </c>
      <c r="E789" s="2">
        <v>2023</v>
      </c>
      <c r="F789" s="2" t="s">
        <v>291</v>
      </c>
      <c r="G789" s="2" t="s">
        <v>3095</v>
      </c>
      <c r="H789" s="2" t="s">
        <v>3092</v>
      </c>
      <c r="I789" s="1" t="s">
        <v>14</v>
      </c>
      <c r="J789" s="1" t="s">
        <v>5214</v>
      </c>
      <c r="K789" s="17"/>
      <c r="L789" s="54">
        <v>0.15</v>
      </c>
      <c r="M789" s="3"/>
      <c r="N789" s="39"/>
      <c r="O789" s="39"/>
      <c r="P789" s="39"/>
      <c r="Q789" s="39"/>
      <c r="R789" s="39"/>
      <c r="S789" s="39">
        <v>44.86</v>
      </c>
      <c r="T789" s="39"/>
      <c r="U789" s="39"/>
      <c r="V789" s="3"/>
      <c r="W789" s="92"/>
    </row>
    <row r="790" spans="1:23" s="79" customFormat="1" ht="25.5" x14ac:dyDescent="0.2">
      <c r="A790" s="1" t="s">
        <v>156</v>
      </c>
      <c r="B790" s="2" t="s">
        <v>48</v>
      </c>
      <c r="C790" s="2" t="s">
        <v>157</v>
      </c>
      <c r="D790" s="2" t="s">
        <v>158</v>
      </c>
      <c r="E790" s="2">
        <v>2023</v>
      </c>
      <c r="F790" s="2" t="s">
        <v>311</v>
      </c>
      <c r="G790" s="2" t="s">
        <v>3095</v>
      </c>
      <c r="H790" s="2" t="s">
        <v>3092</v>
      </c>
      <c r="I790" s="1" t="s">
        <v>14</v>
      </c>
      <c r="J790" s="1" t="s">
        <v>5215</v>
      </c>
      <c r="K790" s="17"/>
      <c r="L790" s="54">
        <v>0.15</v>
      </c>
      <c r="M790" s="39"/>
      <c r="N790" s="39"/>
      <c r="O790" s="39"/>
      <c r="P790" s="39"/>
      <c r="Q790" s="39"/>
      <c r="R790" s="39"/>
      <c r="S790" s="39">
        <v>28.83</v>
      </c>
      <c r="T790" s="39"/>
      <c r="U790" s="39"/>
      <c r="V790" s="39"/>
      <c r="W790" s="92"/>
    </row>
    <row r="791" spans="1:23" s="79" customFormat="1" ht="25.5" x14ac:dyDescent="0.2">
      <c r="A791" s="1" t="s">
        <v>156</v>
      </c>
      <c r="B791" s="2" t="s">
        <v>48</v>
      </c>
      <c r="C791" s="2" t="s">
        <v>157</v>
      </c>
      <c r="D791" s="2" t="s">
        <v>158</v>
      </c>
      <c r="E791" s="2">
        <v>2023</v>
      </c>
      <c r="F791" s="2" t="s">
        <v>337</v>
      </c>
      <c r="G791" s="2" t="s">
        <v>3095</v>
      </c>
      <c r="H791" s="2" t="s">
        <v>3092</v>
      </c>
      <c r="I791" s="1" t="s">
        <v>14</v>
      </c>
      <c r="J791" s="1" t="s">
        <v>5216</v>
      </c>
      <c r="K791" s="17"/>
      <c r="L791" s="54">
        <v>0.155</v>
      </c>
      <c r="M791" s="39"/>
      <c r="N791" s="39"/>
      <c r="O791" s="39"/>
      <c r="P791" s="39"/>
      <c r="Q791" s="39"/>
      <c r="R791" s="39"/>
      <c r="S791" s="3">
        <v>29.1</v>
      </c>
      <c r="T791" s="39"/>
      <c r="U791" s="39"/>
      <c r="V791" s="39"/>
      <c r="W791" s="92"/>
    </row>
    <row r="792" spans="1:23" s="79" customFormat="1" ht="25.5" x14ac:dyDescent="0.2">
      <c r="A792" s="1" t="s">
        <v>156</v>
      </c>
      <c r="B792" s="2" t="s">
        <v>48</v>
      </c>
      <c r="C792" s="2" t="s">
        <v>157</v>
      </c>
      <c r="D792" s="2" t="s">
        <v>158</v>
      </c>
      <c r="E792" s="2">
        <v>2023</v>
      </c>
      <c r="F792" s="2" t="s">
        <v>364</v>
      </c>
      <c r="G792" s="2" t="s">
        <v>3095</v>
      </c>
      <c r="H792" s="2" t="s">
        <v>3092</v>
      </c>
      <c r="I792" s="1" t="s">
        <v>14</v>
      </c>
      <c r="J792" s="1" t="s">
        <v>5217</v>
      </c>
      <c r="K792" s="17"/>
      <c r="L792" s="54">
        <v>0.15</v>
      </c>
      <c r="M792" s="39"/>
      <c r="N792" s="39"/>
      <c r="O792" s="39"/>
      <c r="P792" s="39"/>
      <c r="Q792" s="39"/>
      <c r="R792" s="39"/>
      <c r="S792" s="39">
        <v>35.67</v>
      </c>
      <c r="T792" s="39"/>
      <c r="U792" s="39"/>
      <c r="V792" s="39"/>
      <c r="W792" s="92"/>
    </row>
    <row r="793" spans="1:23" s="79" customFormat="1" ht="25.5" x14ac:dyDescent="0.2">
      <c r="A793" s="1" t="s">
        <v>156</v>
      </c>
      <c r="B793" s="2" t="s">
        <v>48</v>
      </c>
      <c r="C793" s="2" t="s">
        <v>157</v>
      </c>
      <c r="D793" s="2" t="s">
        <v>158</v>
      </c>
      <c r="E793" s="2">
        <v>2023</v>
      </c>
      <c r="F793" s="2" t="s">
        <v>388</v>
      </c>
      <c r="G793" s="2" t="s">
        <v>3095</v>
      </c>
      <c r="H793" s="2" t="s">
        <v>3092</v>
      </c>
      <c r="I793" s="1" t="s">
        <v>14</v>
      </c>
      <c r="J793" s="1" t="s">
        <v>5218</v>
      </c>
      <c r="K793" s="17"/>
      <c r="L793" s="54">
        <v>0.15</v>
      </c>
      <c r="M793" s="39"/>
      <c r="N793" s="39"/>
      <c r="O793" s="39"/>
      <c r="P793" s="39"/>
      <c r="Q793" s="39"/>
      <c r="R793" s="39"/>
      <c r="S793" s="39">
        <v>36.76</v>
      </c>
      <c r="T793" s="39"/>
      <c r="U793" s="39"/>
      <c r="V793" s="39"/>
      <c r="W793" s="92"/>
    </row>
    <row r="794" spans="1:23" s="79" customFormat="1" ht="25.5" x14ac:dyDescent="0.2">
      <c r="A794" s="1" t="s">
        <v>2748</v>
      </c>
      <c r="B794" s="2" t="s">
        <v>196</v>
      </c>
      <c r="C794" s="2" t="s">
        <v>2749</v>
      </c>
      <c r="D794" s="2" t="s">
        <v>239</v>
      </c>
      <c r="E794" s="2">
        <v>2023</v>
      </c>
      <c r="F794" s="2" t="s">
        <v>291</v>
      </c>
      <c r="G794" s="2" t="s">
        <v>3093</v>
      </c>
      <c r="H794" s="2" t="s">
        <v>3092</v>
      </c>
      <c r="I794" s="1" t="s">
        <v>14</v>
      </c>
      <c r="J794" s="1" t="s">
        <v>5219</v>
      </c>
      <c r="K794" s="17"/>
      <c r="L794" s="54"/>
      <c r="M794" s="39"/>
      <c r="N794" s="39"/>
      <c r="O794" s="39"/>
      <c r="P794" s="39"/>
      <c r="Q794" s="39"/>
      <c r="R794" s="39"/>
      <c r="S794" s="39"/>
      <c r="T794" s="39"/>
      <c r="U794" s="39"/>
      <c r="V794" s="39"/>
      <c r="W794" s="92" t="s">
        <v>5220</v>
      </c>
    </row>
    <row r="795" spans="1:23" s="79" customFormat="1" ht="38.25" x14ac:dyDescent="0.2">
      <c r="A795" s="1" t="s">
        <v>2748</v>
      </c>
      <c r="B795" s="2" t="s">
        <v>196</v>
      </c>
      <c r="C795" s="2" t="s">
        <v>2749</v>
      </c>
      <c r="D795" s="2" t="s">
        <v>239</v>
      </c>
      <c r="E795" s="2">
        <v>2023</v>
      </c>
      <c r="F795" s="2" t="s">
        <v>311</v>
      </c>
      <c r="G795" s="2" t="s">
        <v>3092</v>
      </c>
      <c r="H795" s="2" t="s">
        <v>3092</v>
      </c>
      <c r="I795" s="1" t="s">
        <v>5221</v>
      </c>
      <c r="J795" s="1" t="s">
        <v>5222</v>
      </c>
      <c r="K795" s="17"/>
      <c r="L795" s="54">
        <v>0.21640000000000001</v>
      </c>
      <c r="M795" s="39"/>
      <c r="N795" s="39"/>
      <c r="O795" s="39">
        <v>1013.86</v>
      </c>
      <c r="P795" s="39"/>
      <c r="Q795" s="39"/>
      <c r="R795" s="39"/>
      <c r="S795" s="39"/>
      <c r="T795" s="39"/>
      <c r="U795" s="39"/>
      <c r="V795" s="39"/>
      <c r="W795" s="92" t="s">
        <v>1737</v>
      </c>
    </row>
    <row r="796" spans="1:23" s="79" customFormat="1" ht="63.75" x14ac:dyDescent="0.2">
      <c r="A796" s="1" t="s">
        <v>413</v>
      </c>
      <c r="B796" s="2" t="s">
        <v>228</v>
      </c>
      <c r="C796" s="2" t="s">
        <v>414</v>
      </c>
      <c r="D796" s="2" t="s">
        <v>415</v>
      </c>
      <c r="E796" s="2">
        <v>2023</v>
      </c>
      <c r="F796" s="2" t="s">
        <v>337</v>
      </c>
      <c r="G796" s="2" t="s">
        <v>3095</v>
      </c>
      <c r="H796" s="2" t="s">
        <v>3092</v>
      </c>
      <c r="I796" s="1" t="s">
        <v>14</v>
      </c>
      <c r="J796" s="1" t="s">
        <v>5223</v>
      </c>
      <c r="K796" s="17"/>
      <c r="L796" s="54">
        <v>2.1000000000000001E-2</v>
      </c>
      <c r="M796" s="39">
        <f>22.14+23</f>
        <v>45.14</v>
      </c>
      <c r="N796" s="39"/>
      <c r="O796" s="39"/>
      <c r="P796" s="39"/>
      <c r="Q796" s="39"/>
      <c r="R796" s="39"/>
      <c r="S796" s="39"/>
      <c r="T796" s="39"/>
      <c r="U796" s="39"/>
      <c r="V796" s="39"/>
      <c r="W796" s="92" t="s">
        <v>4021</v>
      </c>
    </row>
    <row r="797" spans="1:23" s="79" customFormat="1" ht="25.5" x14ac:dyDescent="0.2">
      <c r="A797" s="1" t="s">
        <v>193</v>
      </c>
      <c r="B797" s="2" t="s">
        <v>194</v>
      </c>
      <c r="C797" s="2" t="s">
        <v>195</v>
      </c>
      <c r="D797" s="2" t="s">
        <v>92</v>
      </c>
      <c r="E797" s="2">
        <v>2023</v>
      </c>
      <c r="F797" s="2" t="s">
        <v>13</v>
      </c>
      <c r="G797" s="2" t="s">
        <v>3095</v>
      </c>
      <c r="H797" s="2" t="s">
        <v>3092</v>
      </c>
      <c r="I797" s="1" t="s">
        <v>14</v>
      </c>
      <c r="J797" s="1" t="s">
        <v>5224</v>
      </c>
      <c r="K797" s="17"/>
      <c r="L797" s="54" t="s">
        <v>1670</v>
      </c>
      <c r="M797" s="39"/>
      <c r="N797" s="39"/>
      <c r="O797" s="39">
        <v>62.89</v>
      </c>
      <c r="P797" s="39"/>
      <c r="Q797" s="39"/>
      <c r="R797" s="39"/>
      <c r="S797" s="39"/>
      <c r="T797" s="39"/>
      <c r="U797" s="39"/>
      <c r="V797" s="39"/>
      <c r="W797" s="92" t="s">
        <v>1699</v>
      </c>
    </row>
    <row r="798" spans="1:23" s="79" customFormat="1" ht="38.25" x14ac:dyDescent="0.2">
      <c r="A798" s="1" t="s">
        <v>193</v>
      </c>
      <c r="B798" s="2" t="s">
        <v>194</v>
      </c>
      <c r="C798" s="2" t="s">
        <v>195</v>
      </c>
      <c r="D798" s="2" t="s">
        <v>92</v>
      </c>
      <c r="E798" s="2">
        <v>2023</v>
      </c>
      <c r="F798" s="2" t="s">
        <v>188</v>
      </c>
      <c r="G798" s="2" t="s">
        <v>3095</v>
      </c>
      <c r="H798" s="2" t="s">
        <v>3092</v>
      </c>
      <c r="I798" s="1" t="s">
        <v>14</v>
      </c>
      <c r="J798" s="1" t="s">
        <v>5225</v>
      </c>
      <c r="K798" s="17"/>
      <c r="L798" s="54" t="s">
        <v>1670</v>
      </c>
      <c r="M798" s="39"/>
      <c r="N798" s="39"/>
      <c r="O798" s="39">
        <v>65.88</v>
      </c>
      <c r="P798" s="39"/>
      <c r="Q798" s="39"/>
      <c r="R798" s="39"/>
      <c r="S798" s="39"/>
      <c r="T798" s="39"/>
      <c r="U798" s="39"/>
      <c r="V798" s="39"/>
      <c r="W798" s="92" t="s">
        <v>1699</v>
      </c>
    </row>
    <row r="799" spans="1:23" s="79" customFormat="1" ht="25.5" x14ac:dyDescent="0.2">
      <c r="A799" s="1" t="s">
        <v>193</v>
      </c>
      <c r="B799" s="2" t="s">
        <v>194</v>
      </c>
      <c r="C799" s="2" t="s">
        <v>195</v>
      </c>
      <c r="D799" s="2" t="s">
        <v>92</v>
      </c>
      <c r="E799" s="2">
        <v>2023</v>
      </c>
      <c r="F799" s="2" t="s">
        <v>211</v>
      </c>
      <c r="G799" s="2" t="s">
        <v>3095</v>
      </c>
      <c r="H799" s="2" t="s">
        <v>3092</v>
      </c>
      <c r="I799" s="1" t="s">
        <v>14</v>
      </c>
      <c r="J799" s="1" t="s">
        <v>5226</v>
      </c>
      <c r="K799" s="17"/>
      <c r="L799" s="54" t="s">
        <v>1670</v>
      </c>
      <c r="M799" s="39"/>
      <c r="N799" s="39"/>
      <c r="O799" s="39">
        <v>58.67</v>
      </c>
      <c r="P799" s="39"/>
      <c r="Q799" s="39"/>
      <c r="R799" s="39"/>
      <c r="S799" s="39"/>
      <c r="T799" s="39"/>
      <c r="U799" s="39"/>
      <c r="V799" s="39"/>
      <c r="W799" s="92" t="s">
        <v>1699</v>
      </c>
    </row>
    <row r="800" spans="1:23" s="79" customFormat="1" ht="25.5" x14ac:dyDescent="0.2">
      <c r="A800" s="1" t="s">
        <v>193</v>
      </c>
      <c r="B800" s="2" t="s">
        <v>194</v>
      </c>
      <c r="C800" s="2" t="s">
        <v>195</v>
      </c>
      <c r="D800" s="2" t="s">
        <v>92</v>
      </c>
      <c r="E800" s="2">
        <v>2023</v>
      </c>
      <c r="F800" s="2" t="s">
        <v>221</v>
      </c>
      <c r="G800" s="2" t="s">
        <v>3095</v>
      </c>
      <c r="H800" s="2" t="s">
        <v>3092</v>
      </c>
      <c r="I800" s="1" t="s">
        <v>14</v>
      </c>
      <c r="J800" s="1" t="s">
        <v>5227</v>
      </c>
      <c r="K800" s="17"/>
      <c r="L800" s="54" t="s">
        <v>1670</v>
      </c>
      <c r="M800" s="39"/>
      <c r="N800" s="39"/>
      <c r="O800" s="39">
        <v>63.15</v>
      </c>
      <c r="P800" s="39"/>
      <c r="Q800" s="39"/>
      <c r="R800" s="39"/>
      <c r="S800" s="39"/>
      <c r="T800" s="39"/>
      <c r="U800" s="39"/>
      <c r="V800" s="39"/>
      <c r="W800" s="92" t="s">
        <v>1699</v>
      </c>
    </row>
    <row r="801" spans="1:23" s="79" customFormat="1" ht="25.5" x14ac:dyDescent="0.2">
      <c r="A801" s="1" t="s">
        <v>193</v>
      </c>
      <c r="B801" s="2" t="s">
        <v>194</v>
      </c>
      <c r="C801" s="2" t="s">
        <v>195</v>
      </c>
      <c r="D801" s="2" t="s">
        <v>92</v>
      </c>
      <c r="E801" s="2">
        <v>2023</v>
      </c>
      <c r="F801" s="2" t="s">
        <v>276</v>
      </c>
      <c r="G801" s="2" t="s">
        <v>3095</v>
      </c>
      <c r="H801" s="2" t="s">
        <v>3092</v>
      </c>
      <c r="I801" s="1" t="s">
        <v>14</v>
      </c>
      <c r="J801" s="1" t="s">
        <v>5228</v>
      </c>
      <c r="K801" s="17"/>
      <c r="L801" s="54" t="s">
        <v>1670</v>
      </c>
      <c r="M801" s="39"/>
      <c r="N801" s="39"/>
      <c r="O801" s="39">
        <v>62.13</v>
      </c>
      <c r="P801" s="39"/>
      <c r="Q801" s="39"/>
      <c r="R801" s="39"/>
      <c r="S801" s="39"/>
      <c r="T801" s="39"/>
      <c r="U801" s="39"/>
      <c r="V801" s="39"/>
      <c r="W801" s="92" t="s">
        <v>1699</v>
      </c>
    </row>
    <row r="802" spans="1:23" s="79" customFormat="1" ht="25.5" x14ac:dyDescent="0.2">
      <c r="A802" s="1" t="s">
        <v>193</v>
      </c>
      <c r="B802" s="2" t="s">
        <v>194</v>
      </c>
      <c r="C802" s="2" t="s">
        <v>195</v>
      </c>
      <c r="D802" s="2" t="s">
        <v>92</v>
      </c>
      <c r="E802" s="2">
        <v>2023</v>
      </c>
      <c r="F802" s="2" t="s">
        <v>311</v>
      </c>
      <c r="G802" s="2" t="s">
        <v>3095</v>
      </c>
      <c r="H802" s="2" t="s">
        <v>3092</v>
      </c>
      <c r="I802" s="1" t="s">
        <v>14</v>
      </c>
      <c r="J802" s="1" t="s">
        <v>5229</v>
      </c>
      <c r="K802" s="17"/>
      <c r="L802" s="54" t="s">
        <v>1670</v>
      </c>
      <c r="M802" s="39"/>
      <c r="N802" s="39"/>
      <c r="O802" s="39">
        <v>69.12</v>
      </c>
      <c r="P802" s="39"/>
      <c r="Q802" s="39"/>
      <c r="R802" s="39"/>
      <c r="S802" s="39"/>
      <c r="T802" s="39"/>
      <c r="U802" s="39"/>
      <c r="V802" s="39"/>
      <c r="W802" s="92" t="s">
        <v>1699</v>
      </c>
    </row>
    <row r="803" spans="1:23" s="79" customFormat="1" ht="25.5" x14ac:dyDescent="0.2">
      <c r="A803" s="1" t="s">
        <v>193</v>
      </c>
      <c r="B803" s="2" t="s">
        <v>194</v>
      </c>
      <c r="C803" s="2" t="s">
        <v>195</v>
      </c>
      <c r="D803" s="2" t="s">
        <v>92</v>
      </c>
      <c r="E803" s="2">
        <v>2023</v>
      </c>
      <c r="F803" s="2" t="s">
        <v>364</v>
      </c>
      <c r="G803" s="2" t="s">
        <v>3095</v>
      </c>
      <c r="H803" s="2" t="s">
        <v>3092</v>
      </c>
      <c r="I803" s="1" t="s">
        <v>14</v>
      </c>
      <c r="J803" s="1" t="s">
        <v>5230</v>
      </c>
      <c r="K803" s="17"/>
      <c r="L803" s="54" t="s">
        <v>1670</v>
      </c>
      <c r="M803" s="39"/>
      <c r="N803" s="39"/>
      <c r="O803" s="39">
        <v>60.4</v>
      </c>
      <c r="P803" s="39"/>
      <c r="Q803" s="39"/>
      <c r="R803" s="39"/>
      <c r="S803" s="39"/>
      <c r="T803" s="39"/>
      <c r="U803" s="39"/>
      <c r="V803" s="39"/>
      <c r="W803" s="92" t="s">
        <v>1699</v>
      </c>
    </row>
    <row r="804" spans="1:23" s="79" customFormat="1" ht="25.5" x14ac:dyDescent="0.2">
      <c r="A804" s="1" t="s">
        <v>193</v>
      </c>
      <c r="B804" s="2" t="s">
        <v>194</v>
      </c>
      <c r="C804" s="2" t="s">
        <v>195</v>
      </c>
      <c r="D804" s="2" t="s">
        <v>92</v>
      </c>
      <c r="E804" s="2">
        <v>2023</v>
      </c>
      <c r="F804" s="2" t="s">
        <v>388</v>
      </c>
      <c r="G804" s="2" t="s">
        <v>3095</v>
      </c>
      <c r="H804" s="2" t="s">
        <v>3092</v>
      </c>
      <c r="I804" s="1" t="s">
        <v>14</v>
      </c>
      <c r="J804" s="1" t="s">
        <v>5231</v>
      </c>
      <c r="K804" s="17"/>
      <c r="L804" s="54" t="s">
        <v>1670</v>
      </c>
      <c r="M804" s="39"/>
      <c r="N804" s="39"/>
      <c r="O804" s="39">
        <v>64.430000000000007</v>
      </c>
      <c r="P804" s="39"/>
      <c r="Q804" s="39"/>
      <c r="R804" s="39"/>
      <c r="S804" s="39"/>
      <c r="T804" s="39"/>
      <c r="U804" s="39"/>
      <c r="V804" s="39"/>
      <c r="W804" s="92" t="s">
        <v>1699</v>
      </c>
    </row>
    <row r="805" spans="1:23" s="79" customFormat="1" ht="25.5" x14ac:dyDescent="0.2">
      <c r="A805" s="1" t="s">
        <v>133</v>
      </c>
      <c r="B805" s="2" t="s">
        <v>38</v>
      </c>
      <c r="C805" s="2" t="s">
        <v>134</v>
      </c>
      <c r="D805" s="2" t="s">
        <v>85</v>
      </c>
      <c r="E805" s="2">
        <v>2023</v>
      </c>
      <c r="F805" s="2" t="s">
        <v>13</v>
      </c>
      <c r="G805" s="2" t="s">
        <v>3095</v>
      </c>
      <c r="H805" s="2" t="s">
        <v>3092</v>
      </c>
      <c r="I805" s="1" t="s">
        <v>14</v>
      </c>
      <c r="J805" s="1" t="s">
        <v>5232</v>
      </c>
      <c r="K805" s="17"/>
      <c r="L805" s="54">
        <v>0.16500000000000001</v>
      </c>
      <c r="M805" s="39"/>
      <c r="N805" s="39"/>
      <c r="O805" s="39"/>
      <c r="P805" s="39"/>
      <c r="Q805" s="39"/>
      <c r="R805" s="39"/>
      <c r="S805" s="39">
        <v>30.66</v>
      </c>
      <c r="T805" s="39"/>
      <c r="U805" s="39"/>
      <c r="V805" s="39"/>
      <c r="W805" s="92"/>
    </row>
    <row r="806" spans="1:23" s="79" customFormat="1" ht="25.5" x14ac:dyDescent="0.2">
      <c r="A806" s="1" t="s">
        <v>133</v>
      </c>
      <c r="B806" s="2" t="s">
        <v>38</v>
      </c>
      <c r="C806" s="2" t="s">
        <v>134</v>
      </c>
      <c r="D806" s="2" t="s">
        <v>85</v>
      </c>
      <c r="E806" s="2">
        <v>2023</v>
      </c>
      <c r="F806" s="2" t="s">
        <v>188</v>
      </c>
      <c r="G806" s="2" t="s">
        <v>3095</v>
      </c>
      <c r="H806" s="2" t="s">
        <v>3092</v>
      </c>
      <c r="I806" s="1" t="s">
        <v>14</v>
      </c>
      <c r="J806" s="1" t="s">
        <v>5233</v>
      </c>
      <c r="K806" s="17"/>
      <c r="L806" s="54">
        <v>0.153</v>
      </c>
      <c r="M806" s="39"/>
      <c r="N806" s="39"/>
      <c r="O806" s="39"/>
      <c r="P806" s="39"/>
      <c r="Q806" s="39"/>
      <c r="R806" s="39"/>
      <c r="S806" s="39">
        <v>25.02</v>
      </c>
      <c r="T806" s="39"/>
      <c r="U806" s="39"/>
      <c r="V806" s="39"/>
      <c r="W806" s="92"/>
    </row>
    <row r="807" spans="1:23" s="79" customFormat="1" ht="25.5" x14ac:dyDescent="0.2">
      <c r="A807" s="1" t="s">
        <v>133</v>
      </c>
      <c r="B807" s="2" t="s">
        <v>38</v>
      </c>
      <c r="C807" s="2" t="s">
        <v>134</v>
      </c>
      <c r="D807" s="2" t="s">
        <v>85</v>
      </c>
      <c r="E807" s="2">
        <v>2023</v>
      </c>
      <c r="F807" s="2" t="s">
        <v>203</v>
      </c>
      <c r="G807" s="2" t="s">
        <v>3095</v>
      </c>
      <c r="H807" s="2" t="s">
        <v>3092</v>
      </c>
      <c r="I807" s="1" t="s">
        <v>14</v>
      </c>
      <c r="J807" s="1" t="s">
        <v>5234</v>
      </c>
      <c r="K807" s="17"/>
      <c r="L807" s="54">
        <v>0.14699999999999999</v>
      </c>
      <c r="M807" s="39"/>
      <c r="N807" s="39"/>
      <c r="O807" s="39"/>
      <c r="P807" s="39"/>
      <c r="Q807" s="39"/>
      <c r="R807" s="39"/>
      <c r="S807" s="39">
        <v>53.92</v>
      </c>
      <c r="T807" s="39"/>
      <c r="U807" s="39"/>
      <c r="V807" s="39"/>
      <c r="W807" s="92"/>
    </row>
    <row r="808" spans="1:23" s="79" customFormat="1" ht="25.5" x14ac:dyDescent="0.2">
      <c r="A808" s="1" t="s">
        <v>133</v>
      </c>
      <c r="B808" s="2" t="s">
        <v>38</v>
      </c>
      <c r="C808" s="2" t="s">
        <v>134</v>
      </c>
      <c r="D808" s="2" t="s">
        <v>85</v>
      </c>
      <c r="E808" s="2">
        <v>2023</v>
      </c>
      <c r="F808" s="2" t="s">
        <v>211</v>
      </c>
      <c r="G808" s="2" t="s">
        <v>3095</v>
      </c>
      <c r="H808" s="2" t="s">
        <v>3092</v>
      </c>
      <c r="I808" s="1" t="s">
        <v>14</v>
      </c>
      <c r="J808" s="1" t="s">
        <v>5235</v>
      </c>
      <c r="K808" s="17"/>
      <c r="L808" s="54">
        <v>0.16700000000000001</v>
      </c>
      <c r="M808" s="39"/>
      <c r="N808" s="39"/>
      <c r="O808" s="39"/>
      <c r="P808" s="39"/>
      <c r="Q808" s="39"/>
      <c r="R808" s="39"/>
      <c r="S808" s="39">
        <v>25.21</v>
      </c>
      <c r="T808" s="39"/>
      <c r="U808" s="39"/>
      <c r="V808" s="39"/>
      <c r="W808" s="92"/>
    </row>
    <row r="809" spans="1:23" s="79" customFormat="1" ht="25.5" x14ac:dyDescent="0.2">
      <c r="A809" s="1" t="s">
        <v>133</v>
      </c>
      <c r="B809" s="2" t="s">
        <v>38</v>
      </c>
      <c r="C809" s="2" t="s">
        <v>134</v>
      </c>
      <c r="D809" s="2" t="s">
        <v>85</v>
      </c>
      <c r="E809" s="2">
        <v>2023</v>
      </c>
      <c r="F809" s="2" t="s">
        <v>221</v>
      </c>
      <c r="G809" s="2" t="s">
        <v>3095</v>
      </c>
      <c r="H809" s="2" t="s">
        <v>3092</v>
      </c>
      <c r="I809" s="1" t="s">
        <v>14</v>
      </c>
      <c r="J809" s="1" t="s">
        <v>5236</v>
      </c>
      <c r="K809" s="17"/>
      <c r="L809" s="54">
        <v>0.14099999999999999</v>
      </c>
      <c r="M809" s="39"/>
      <c r="N809" s="39"/>
      <c r="O809" s="39"/>
      <c r="P809" s="39"/>
      <c r="Q809" s="39"/>
      <c r="R809" s="39"/>
      <c r="S809" s="39">
        <v>18.66</v>
      </c>
      <c r="T809" s="39"/>
      <c r="U809" s="39"/>
      <c r="V809" s="39"/>
      <c r="W809" s="92"/>
    </row>
    <row r="810" spans="1:23" s="79" customFormat="1" ht="25.5" x14ac:dyDescent="0.2">
      <c r="A810" s="1" t="s">
        <v>133</v>
      </c>
      <c r="B810" s="2" t="s">
        <v>38</v>
      </c>
      <c r="C810" s="2" t="s">
        <v>134</v>
      </c>
      <c r="D810" s="2" t="s">
        <v>85</v>
      </c>
      <c r="E810" s="2">
        <v>2023</v>
      </c>
      <c r="F810" s="2" t="s">
        <v>256</v>
      </c>
      <c r="G810" s="2" t="s">
        <v>3095</v>
      </c>
      <c r="H810" s="2" t="s">
        <v>3092</v>
      </c>
      <c r="I810" s="1" t="s">
        <v>14</v>
      </c>
      <c r="J810" s="1" t="s">
        <v>5237</v>
      </c>
      <c r="K810" s="17"/>
      <c r="L810" s="54">
        <v>0.151</v>
      </c>
      <c r="M810" s="39"/>
      <c r="N810" s="39"/>
      <c r="O810" s="39"/>
      <c r="P810" s="39"/>
      <c r="Q810" s="39"/>
      <c r="R810" s="39"/>
      <c r="S810" s="39">
        <v>42.3</v>
      </c>
      <c r="T810" s="39"/>
      <c r="U810" s="39"/>
      <c r="V810" s="39"/>
      <c r="W810" s="92"/>
    </row>
    <row r="811" spans="1:23" s="79" customFormat="1" ht="25.5" x14ac:dyDescent="0.2">
      <c r="A811" s="1" t="s">
        <v>133</v>
      </c>
      <c r="B811" s="2" t="s">
        <v>38</v>
      </c>
      <c r="C811" s="2" t="s">
        <v>134</v>
      </c>
      <c r="D811" s="2" t="s">
        <v>85</v>
      </c>
      <c r="E811" s="2">
        <v>2023</v>
      </c>
      <c r="F811" s="2" t="s">
        <v>276</v>
      </c>
      <c r="G811" s="2" t="s">
        <v>3095</v>
      </c>
      <c r="H811" s="2" t="s">
        <v>3092</v>
      </c>
      <c r="I811" s="1" t="s">
        <v>14</v>
      </c>
      <c r="J811" s="1" t="s">
        <v>5238</v>
      </c>
      <c r="K811" s="17"/>
      <c r="L811" s="54">
        <v>0.17399999999999999</v>
      </c>
      <c r="M811" s="39"/>
      <c r="N811" s="39"/>
      <c r="O811" s="39"/>
      <c r="P811" s="39"/>
      <c r="Q811" s="39"/>
      <c r="R811" s="39"/>
      <c r="S811" s="39">
        <v>31.45</v>
      </c>
      <c r="T811" s="39"/>
      <c r="U811" s="39"/>
      <c r="V811" s="39"/>
      <c r="W811" s="92"/>
    </row>
    <row r="812" spans="1:23" s="79" customFormat="1" ht="25.5" x14ac:dyDescent="0.2">
      <c r="A812" s="1" t="s">
        <v>133</v>
      </c>
      <c r="B812" s="2" t="s">
        <v>38</v>
      </c>
      <c r="C812" s="2" t="s">
        <v>134</v>
      </c>
      <c r="D812" s="2" t="s">
        <v>85</v>
      </c>
      <c r="E812" s="2">
        <v>2023</v>
      </c>
      <c r="F812" s="2" t="s">
        <v>291</v>
      </c>
      <c r="G812" s="2" t="s">
        <v>3095</v>
      </c>
      <c r="H812" s="2" t="s">
        <v>3092</v>
      </c>
      <c r="I812" s="1" t="s">
        <v>14</v>
      </c>
      <c r="J812" s="1" t="s">
        <v>5239</v>
      </c>
      <c r="K812" s="17"/>
      <c r="L812" s="54">
        <v>0.182</v>
      </c>
      <c r="M812" s="39"/>
      <c r="N812" s="39"/>
      <c r="O812" s="39"/>
      <c r="P812" s="39"/>
      <c r="Q812" s="39"/>
      <c r="R812" s="39"/>
      <c r="S812" s="39">
        <v>20.56</v>
      </c>
      <c r="T812" s="39"/>
      <c r="U812" s="39"/>
      <c r="V812" s="39"/>
      <c r="W812" s="92"/>
    </row>
    <row r="813" spans="1:23" s="79" customFormat="1" ht="25.5" x14ac:dyDescent="0.2">
      <c r="A813" s="1" t="s">
        <v>133</v>
      </c>
      <c r="B813" s="2" t="s">
        <v>38</v>
      </c>
      <c r="C813" s="2" t="s">
        <v>134</v>
      </c>
      <c r="D813" s="2" t="s">
        <v>85</v>
      </c>
      <c r="E813" s="2">
        <v>2023</v>
      </c>
      <c r="F813" s="2" t="s">
        <v>311</v>
      </c>
      <c r="G813" s="2" t="s">
        <v>3095</v>
      </c>
      <c r="H813" s="2" t="s">
        <v>3092</v>
      </c>
      <c r="I813" s="1" t="s">
        <v>14</v>
      </c>
      <c r="J813" s="1" t="s">
        <v>5240</v>
      </c>
      <c r="K813" s="17"/>
      <c r="L813" s="54" t="s">
        <v>1670</v>
      </c>
      <c r="M813" s="39"/>
      <c r="N813" s="39"/>
      <c r="O813" s="39"/>
      <c r="P813" s="39"/>
      <c r="Q813" s="39"/>
      <c r="R813" s="39"/>
      <c r="S813" s="39">
        <v>9.27</v>
      </c>
      <c r="T813" s="39"/>
      <c r="U813" s="39"/>
      <c r="V813" s="39"/>
      <c r="W813" s="92"/>
    </row>
    <row r="814" spans="1:23" s="79" customFormat="1" ht="25.5" x14ac:dyDescent="0.2">
      <c r="A814" s="1" t="s">
        <v>133</v>
      </c>
      <c r="B814" s="2" t="s">
        <v>38</v>
      </c>
      <c r="C814" s="2" t="s">
        <v>134</v>
      </c>
      <c r="D814" s="2" t="s">
        <v>85</v>
      </c>
      <c r="E814" s="2">
        <v>2023</v>
      </c>
      <c r="F814" s="2" t="s">
        <v>337</v>
      </c>
      <c r="G814" s="2" t="s">
        <v>3095</v>
      </c>
      <c r="H814" s="2" t="s">
        <v>3092</v>
      </c>
      <c r="I814" s="1" t="s">
        <v>14</v>
      </c>
      <c r="J814" s="1" t="s">
        <v>5241</v>
      </c>
      <c r="K814" s="17"/>
      <c r="L814" s="54">
        <v>0.191</v>
      </c>
      <c r="M814" s="39"/>
      <c r="N814" s="39"/>
      <c r="O814" s="39"/>
      <c r="P814" s="39"/>
      <c r="Q814" s="39"/>
      <c r="R814" s="39"/>
      <c r="S814" s="3">
        <v>28.5</v>
      </c>
      <c r="T814" s="39"/>
      <c r="U814" s="39"/>
      <c r="V814" s="39"/>
      <c r="W814" s="92"/>
    </row>
    <row r="815" spans="1:23" s="79" customFormat="1" ht="25.5" x14ac:dyDescent="0.2">
      <c r="A815" s="1" t="s">
        <v>133</v>
      </c>
      <c r="B815" s="2" t="s">
        <v>38</v>
      </c>
      <c r="C815" s="2" t="s">
        <v>134</v>
      </c>
      <c r="D815" s="2" t="s">
        <v>85</v>
      </c>
      <c r="E815" s="2">
        <v>2023</v>
      </c>
      <c r="F815" s="2" t="s">
        <v>364</v>
      </c>
      <c r="G815" s="2" t="s">
        <v>3095</v>
      </c>
      <c r="H815" s="2" t="s">
        <v>3092</v>
      </c>
      <c r="I815" s="1" t="s">
        <v>14</v>
      </c>
      <c r="J815" s="1" t="s">
        <v>5242</v>
      </c>
      <c r="K815" s="17"/>
      <c r="L815" s="54">
        <v>0.16300000000000001</v>
      </c>
      <c r="M815" s="39"/>
      <c r="N815" s="39"/>
      <c r="O815" s="39"/>
      <c r="P815" s="39"/>
      <c r="Q815" s="39"/>
      <c r="R815" s="39"/>
      <c r="S815" s="39">
        <v>30</v>
      </c>
      <c r="T815" s="39"/>
      <c r="U815" s="39"/>
      <c r="V815" s="39"/>
      <c r="W815" s="92"/>
    </row>
    <row r="816" spans="1:23" s="79" customFormat="1" ht="25.5" x14ac:dyDescent="0.2">
      <c r="A816" s="1" t="s">
        <v>133</v>
      </c>
      <c r="B816" s="2" t="s">
        <v>38</v>
      </c>
      <c r="C816" s="2" t="s">
        <v>134</v>
      </c>
      <c r="D816" s="2" t="s">
        <v>85</v>
      </c>
      <c r="E816" s="2">
        <v>2023</v>
      </c>
      <c r="F816" s="2" t="s">
        <v>388</v>
      </c>
      <c r="G816" s="2" t="s">
        <v>3095</v>
      </c>
      <c r="H816" s="2" t="s">
        <v>3092</v>
      </c>
      <c r="I816" s="1" t="s">
        <v>14</v>
      </c>
      <c r="J816" s="1" t="s">
        <v>5243</v>
      </c>
      <c r="K816" s="17"/>
      <c r="L816" s="54">
        <v>0.153</v>
      </c>
      <c r="M816" s="39"/>
      <c r="N816" s="39"/>
      <c r="O816" s="39"/>
      <c r="P816" s="39"/>
      <c r="Q816" s="39"/>
      <c r="R816" s="39"/>
      <c r="S816" s="39">
        <v>38.380000000000003</v>
      </c>
      <c r="T816" s="39"/>
      <c r="U816" s="39"/>
      <c r="V816" s="39"/>
      <c r="W816" s="92"/>
    </row>
    <row r="817" spans="1:23" s="79" customFormat="1" ht="38.25" x14ac:dyDescent="0.2">
      <c r="A817" s="1" t="s">
        <v>180</v>
      </c>
      <c r="B817" s="2" t="s">
        <v>48</v>
      </c>
      <c r="C817" s="2" t="s">
        <v>181</v>
      </c>
      <c r="D817" s="2" t="s">
        <v>46</v>
      </c>
      <c r="E817" s="2">
        <v>2023</v>
      </c>
      <c r="F817" s="2" t="s">
        <v>13</v>
      </c>
      <c r="G817" s="2" t="s">
        <v>3095</v>
      </c>
      <c r="H817" s="2" t="s">
        <v>3092</v>
      </c>
      <c r="I817" s="1" t="s">
        <v>14</v>
      </c>
      <c r="J817" s="1" t="s">
        <v>5244</v>
      </c>
      <c r="K817" s="17"/>
      <c r="L817" s="54">
        <v>0.14699999999999999</v>
      </c>
      <c r="M817" s="39"/>
      <c r="N817" s="39"/>
      <c r="O817" s="39">
        <v>52.62</v>
      </c>
      <c r="P817" s="39"/>
      <c r="Q817" s="39"/>
      <c r="R817" s="39"/>
      <c r="S817" s="39"/>
      <c r="T817" s="39"/>
      <c r="U817" s="39"/>
      <c r="V817" s="39"/>
      <c r="W817" s="92" t="s">
        <v>5245</v>
      </c>
    </row>
    <row r="818" spans="1:23" s="79" customFormat="1" ht="38.25" x14ac:dyDescent="0.2">
      <c r="A818" s="1" t="s">
        <v>180</v>
      </c>
      <c r="B818" s="2" t="s">
        <v>48</v>
      </c>
      <c r="C818" s="2" t="s">
        <v>181</v>
      </c>
      <c r="D818" s="2" t="s">
        <v>46</v>
      </c>
      <c r="E818" s="2">
        <v>2023</v>
      </c>
      <c r="F818" s="2" t="s">
        <v>188</v>
      </c>
      <c r="G818" s="2" t="s">
        <v>3095</v>
      </c>
      <c r="H818" s="2" t="s">
        <v>3092</v>
      </c>
      <c r="I818" s="1" t="s">
        <v>14</v>
      </c>
      <c r="J818" s="1" t="s">
        <v>5246</v>
      </c>
      <c r="K818" s="17"/>
      <c r="L818" s="54">
        <v>0.14799999999999999</v>
      </c>
      <c r="M818" s="39"/>
      <c r="N818" s="39"/>
      <c r="O818" s="39">
        <v>52.44</v>
      </c>
      <c r="P818" s="39"/>
      <c r="Q818" s="39"/>
      <c r="R818" s="39"/>
      <c r="S818" s="39"/>
      <c r="T818" s="39"/>
      <c r="U818" s="39"/>
      <c r="V818" s="39"/>
      <c r="W818" s="92" t="s">
        <v>5245</v>
      </c>
    </row>
    <row r="819" spans="1:23" s="79" customFormat="1" ht="38.25" x14ac:dyDescent="0.2">
      <c r="A819" s="1" t="s">
        <v>180</v>
      </c>
      <c r="B819" s="2" t="s">
        <v>48</v>
      </c>
      <c r="C819" s="2" t="s">
        <v>181</v>
      </c>
      <c r="D819" s="2" t="s">
        <v>46</v>
      </c>
      <c r="E819" s="2">
        <v>2023</v>
      </c>
      <c r="F819" s="2" t="s">
        <v>203</v>
      </c>
      <c r="G819" s="2" t="s">
        <v>3095</v>
      </c>
      <c r="H819" s="2" t="s">
        <v>3092</v>
      </c>
      <c r="I819" s="1" t="s">
        <v>14</v>
      </c>
      <c r="J819" s="1" t="s">
        <v>5247</v>
      </c>
      <c r="K819" s="17"/>
      <c r="L819" s="54">
        <v>0.14299999999999999</v>
      </c>
      <c r="M819" s="39"/>
      <c r="N819" s="39"/>
      <c r="O819" s="39">
        <v>66.98</v>
      </c>
      <c r="P819" s="39"/>
      <c r="Q819" s="39"/>
      <c r="R819" s="39"/>
      <c r="S819" s="39"/>
      <c r="T819" s="39"/>
      <c r="U819" s="39"/>
      <c r="V819" s="39"/>
      <c r="W819" s="92" t="s">
        <v>5245</v>
      </c>
    </row>
    <row r="820" spans="1:23" s="79" customFormat="1" ht="38.25" x14ac:dyDescent="0.2">
      <c r="A820" s="1" t="s">
        <v>180</v>
      </c>
      <c r="B820" s="2" t="s">
        <v>48</v>
      </c>
      <c r="C820" s="2" t="s">
        <v>181</v>
      </c>
      <c r="D820" s="2" t="s">
        <v>46</v>
      </c>
      <c r="E820" s="2">
        <v>2023</v>
      </c>
      <c r="F820" s="2" t="s">
        <v>211</v>
      </c>
      <c r="G820" s="2" t="s">
        <v>3095</v>
      </c>
      <c r="H820" s="2" t="s">
        <v>3092</v>
      </c>
      <c r="I820" s="1" t="s">
        <v>14</v>
      </c>
      <c r="J820" s="1" t="s">
        <v>5248</v>
      </c>
      <c r="K820" s="17"/>
      <c r="L820" s="54">
        <v>0.14199999999999999</v>
      </c>
      <c r="M820" s="39"/>
      <c r="N820" s="39"/>
      <c r="O820" s="39">
        <v>45.06</v>
      </c>
      <c r="P820" s="39"/>
      <c r="Q820" s="39"/>
      <c r="R820" s="39"/>
      <c r="S820" s="39"/>
      <c r="T820" s="39"/>
      <c r="U820" s="39"/>
      <c r="V820" s="39"/>
      <c r="W820" s="92" t="s">
        <v>5245</v>
      </c>
    </row>
    <row r="821" spans="1:23" s="79" customFormat="1" ht="38.25" x14ac:dyDescent="0.2">
      <c r="A821" s="1" t="s">
        <v>180</v>
      </c>
      <c r="B821" s="2" t="s">
        <v>48</v>
      </c>
      <c r="C821" s="2" t="s">
        <v>181</v>
      </c>
      <c r="D821" s="2" t="s">
        <v>46</v>
      </c>
      <c r="E821" s="2">
        <v>2023</v>
      </c>
      <c r="F821" s="2" t="s">
        <v>221</v>
      </c>
      <c r="G821" s="2" t="s">
        <v>3095</v>
      </c>
      <c r="H821" s="2" t="s">
        <v>3092</v>
      </c>
      <c r="I821" s="1" t="s">
        <v>14</v>
      </c>
      <c r="J821" s="1" t="s">
        <v>5249</v>
      </c>
      <c r="K821" s="17"/>
      <c r="L821" s="54">
        <v>0.13600000000000001</v>
      </c>
      <c r="M821" s="39"/>
      <c r="N821" s="39"/>
      <c r="O821" s="39">
        <v>50.19</v>
      </c>
      <c r="P821" s="39"/>
      <c r="Q821" s="39"/>
      <c r="R821" s="39"/>
      <c r="S821" s="39"/>
      <c r="T821" s="39"/>
      <c r="U821" s="39"/>
      <c r="V821" s="39"/>
      <c r="W821" s="92" t="s">
        <v>5245</v>
      </c>
    </row>
    <row r="822" spans="1:23" s="79" customFormat="1" ht="38.25" x14ac:dyDescent="0.2">
      <c r="A822" s="1" t="s">
        <v>180</v>
      </c>
      <c r="B822" s="2" t="s">
        <v>48</v>
      </c>
      <c r="C822" s="2" t="s">
        <v>181</v>
      </c>
      <c r="D822" s="2" t="s">
        <v>46</v>
      </c>
      <c r="E822" s="2">
        <v>2023</v>
      </c>
      <c r="F822" s="2" t="s">
        <v>256</v>
      </c>
      <c r="G822" s="2" t="s">
        <v>3095</v>
      </c>
      <c r="H822" s="2" t="s">
        <v>3092</v>
      </c>
      <c r="I822" s="1" t="s">
        <v>14</v>
      </c>
      <c r="J822" s="1" t="s">
        <v>5250</v>
      </c>
      <c r="K822" s="17"/>
      <c r="L822" s="54">
        <v>0.13389999999999999</v>
      </c>
      <c r="M822" s="39"/>
      <c r="N822" s="39"/>
      <c r="O822" s="39">
        <v>36.99</v>
      </c>
      <c r="P822" s="39"/>
      <c r="Q822" s="39"/>
      <c r="R822" s="39"/>
      <c r="S822" s="39"/>
      <c r="T822" s="39"/>
      <c r="U822" s="39"/>
      <c r="V822" s="39"/>
      <c r="W822" s="92" t="s">
        <v>5245</v>
      </c>
    </row>
    <row r="823" spans="1:23" s="79" customFormat="1" ht="38.25" x14ac:dyDescent="0.2">
      <c r="A823" s="1" t="s">
        <v>180</v>
      </c>
      <c r="B823" s="2" t="s">
        <v>48</v>
      </c>
      <c r="C823" s="2" t="s">
        <v>181</v>
      </c>
      <c r="D823" s="2" t="s">
        <v>46</v>
      </c>
      <c r="E823" s="2">
        <v>2023</v>
      </c>
      <c r="F823" s="2" t="s">
        <v>276</v>
      </c>
      <c r="G823" s="2" t="s">
        <v>3095</v>
      </c>
      <c r="H823" s="2" t="s">
        <v>3092</v>
      </c>
      <c r="I823" s="1" t="s">
        <v>14</v>
      </c>
      <c r="J823" s="1" t="s">
        <v>5251</v>
      </c>
      <c r="K823" s="17"/>
      <c r="L823" s="54">
        <v>0.155</v>
      </c>
      <c r="M823" s="39"/>
      <c r="N823" s="39"/>
      <c r="O823" s="39">
        <v>53.97</v>
      </c>
      <c r="P823" s="39"/>
      <c r="Q823" s="39"/>
      <c r="R823" s="39"/>
      <c r="S823" s="39"/>
      <c r="T823" s="39"/>
      <c r="U823" s="39"/>
      <c r="V823" s="39"/>
      <c r="W823" s="92" t="s">
        <v>5245</v>
      </c>
    </row>
    <row r="824" spans="1:23" s="79" customFormat="1" ht="38.25" x14ac:dyDescent="0.2">
      <c r="A824" s="1" t="s">
        <v>180</v>
      </c>
      <c r="B824" s="2" t="s">
        <v>48</v>
      </c>
      <c r="C824" s="2" t="s">
        <v>181</v>
      </c>
      <c r="D824" s="2" t="s">
        <v>46</v>
      </c>
      <c r="E824" s="2">
        <v>2023</v>
      </c>
      <c r="F824" s="2" t="s">
        <v>291</v>
      </c>
      <c r="G824" s="2" t="s">
        <v>3095</v>
      </c>
      <c r="H824" s="2" t="s">
        <v>3092</v>
      </c>
      <c r="I824" s="1" t="s">
        <v>14</v>
      </c>
      <c r="J824" s="1" t="s">
        <v>5252</v>
      </c>
      <c r="K824" s="17"/>
      <c r="L824" s="54">
        <v>0.153</v>
      </c>
      <c r="M824" s="39"/>
      <c r="N824" s="39"/>
      <c r="O824" s="39">
        <v>36.24</v>
      </c>
      <c r="P824" s="39"/>
      <c r="Q824" s="39"/>
      <c r="R824" s="39"/>
      <c r="S824" s="39"/>
      <c r="T824" s="39"/>
      <c r="U824" s="39"/>
      <c r="V824" s="39"/>
      <c r="W824" s="92" t="s">
        <v>5245</v>
      </c>
    </row>
    <row r="825" spans="1:23" s="79" customFormat="1" ht="38.25" x14ac:dyDescent="0.2">
      <c r="A825" s="1" t="s">
        <v>180</v>
      </c>
      <c r="B825" s="2" t="s">
        <v>48</v>
      </c>
      <c r="C825" s="2" t="s">
        <v>181</v>
      </c>
      <c r="D825" s="2" t="s">
        <v>46</v>
      </c>
      <c r="E825" s="2">
        <v>2023</v>
      </c>
      <c r="F825" s="2" t="s">
        <v>311</v>
      </c>
      <c r="G825" s="2" t="s">
        <v>3095</v>
      </c>
      <c r="H825" s="2" t="s">
        <v>3092</v>
      </c>
      <c r="I825" s="1" t="s">
        <v>14</v>
      </c>
      <c r="J825" s="1" t="s">
        <v>5253</v>
      </c>
      <c r="K825" s="17"/>
      <c r="L825" s="54">
        <v>0.14599999999999999</v>
      </c>
      <c r="M825" s="39"/>
      <c r="N825" s="39"/>
      <c r="O825" s="39">
        <v>52.05</v>
      </c>
      <c r="P825" s="39"/>
      <c r="Q825" s="39"/>
      <c r="R825" s="39"/>
      <c r="S825" s="39"/>
      <c r="T825" s="39"/>
      <c r="U825" s="39"/>
      <c r="V825" s="39"/>
      <c r="W825" s="92" t="s">
        <v>5245</v>
      </c>
    </row>
    <row r="826" spans="1:23" s="79" customFormat="1" ht="38.25" x14ac:dyDescent="0.2">
      <c r="A826" s="1" t="s">
        <v>180</v>
      </c>
      <c r="B826" s="2" t="s">
        <v>48</v>
      </c>
      <c r="C826" s="2" t="s">
        <v>181</v>
      </c>
      <c r="D826" s="2" t="s">
        <v>46</v>
      </c>
      <c r="E826" s="2">
        <v>2023</v>
      </c>
      <c r="F826" s="2" t="s">
        <v>337</v>
      </c>
      <c r="G826" s="2" t="s">
        <v>3095</v>
      </c>
      <c r="H826" s="2" t="s">
        <v>3092</v>
      </c>
      <c r="I826" s="1" t="s">
        <v>14</v>
      </c>
      <c r="J826" s="1" t="s">
        <v>5254</v>
      </c>
      <c r="K826" s="17"/>
      <c r="L826" s="54">
        <v>0.13900000000000001</v>
      </c>
      <c r="M826" s="39"/>
      <c r="N826" s="39"/>
      <c r="O826" s="39">
        <v>36.17</v>
      </c>
      <c r="P826" s="39"/>
      <c r="Q826" s="39"/>
      <c r="R826" s="39"/>
      <c r="S826" s="39"/>
      <c r="T826" s="39"/>
      <c r="U826" s="39"/>
      <c r="V826" s="39"/>
      <c r="W826" s="92" t="s">
        <v>5245</v>
      </c>
    </row>
    <row r="827" spans="1:23" s="79" customFormat="1" ht="38.25" x14ac:dyDescent="0.2">
      <c r="A827" s="1" t="s">
        <v>180</v>
      </c>
      <c r="B827" s="2" t="s">
        <v>48</v>
      </c>
      <c r="C827" s="2" t="s">
        <v>181</v>
      </c>
      <c r="D827" s="2" t="s">
        <v>46</v>
      </c>
      <c r="E827" s="2">
        <v>2023</v>
      </c>
      <c r="F827" s="2" t="s">
        <v>364</v>
      </c>
      <c r="G827" s="2" t="s">
        <v>3095</v>
      </c>
      <c r="H827" s="2" t="s">
        <v>3092</v>
      </c>
      <c r="I827" s="1" t="s">
        <v>14</v>
      </c>
      <c r="J827" s="1" t="s">
        <v>5255</v>
      </c>
      <c r="K827" s="17"/>
      <c r="L827" s="54">
        <v>0.14000000000000001</v>
      </c>
      <c r="M827" s="39"/>
      <c r="N827" s="39"/>
      <c r="O827" s="39">
        <v>73.599999999999994</v>
      </c>
      <c r="P827" s="39"/>
      <c r="Q827" s="39"/>
      <c r="R827" s="39"/>
      <c r="S827" s="39"/>
      <c r="T827" s="39"/>
      <c r="U827" s="39"/>
      <c r="V827" s="39"/>
      <c r="W827" s="92" t="s">
        <v>5245</v>
      </c>
    </row>
    <row r="828" spans="1:23" s="79" customFormat="1" ht="38.25" x14ac:dyDescent="0.2">
      <c r="A828" s="1" t="s">
        <v>180</v>
      </c>
      <c r="B828" s="2" t="s">
        <v>48</v>
      </c>
      <c r="C828" s="2" t="s">
        <v>181</v>
      </c>
      <c r="D828" s="2" t="s">
        <v>46</v>
      </c>
      <c r="E828" s="2">
        <v>2023</v>
      </c>
      <c r="F828" s="2" t="s">
        <v>388</v>
      </c>
      <c r="G828" s="2" t="s">
        <v>3095</v>
      </c>
      <c r="H828" s="2" t="s">
        <v>3092</v>
      </c>
      <c r="I828" s="1" t="s">
        <v>14</v>
      </c>
      <c r="J828" s="1" t="s">
        <v>5256</v>
      </c>
      <c r="K828" s="17"/>
      <c r="L828" s="54">
        <v>0.14299999999999999</v>
      </c>
      <c r="M828" s="39"/>
      <c r="N828" s="39"/>
      <c r="O828" s="39">
        <v>54.31</v>
      </c>
      <c r="P828" s="39"/>
      <c r="Q828" s="39"/>
      <c r="R828" s="39"/>
      <c r="S828" s="39"/>
      <c r="T828" s="39"/>
      <c r="U828" s="39"/>
      <c r="V828" s="39"/>
      <c r="W828" s="92" t="s">
        <v>5245</v>
      </c>
    </row>
    <row r="829" spans="1:23" s="79" customFormat="1" ht="63.75" x14ac:dyDescent="0.2">
      <c r="A829" s="1" t="s">
        <v>4060</v>
      </c>
      <c r="B829" s="2" t="s">
        <v>222</v>
      </c>
      <c r="C829" s="2" t="s">
        <v>4061</v>
      </c>
      <c r="D829" s="2" t="s">
        <v>377</v>
      </c>
      <c r="E829" s="2">
        <v>2023</v>
      </c>
      <c r="F829" s="2" t="s">
        <v>364</v>
      </c>
      <c r="G829" s="2" t="s">
        <v>3093</v>
      </c>
      <c r="H829" s="2" t="s">
        <v>3092</v>
      </c>
      <c r="I829" s="1" t="s">
        <v>14</v>
      </c>
      <c r="J829" s="1" t="s">
        <v>5257</v>
      </c>
      <c r="K829" s="17"/>
      <c r="L829" s="80">
        <v>0.47</v>
      </c>
      <c r="M829" s="15"/>
      <c r="N829" s="15"/>
      <c r="O829" s="81"/>
      <c r="P829" s="15"/>
      <c r="Q829" s="15"/>
      <c r="R829" s="15"/>
      <c r="S829" s="15">
        <v>13.73</v>
      </c>
      <c r="T829" s="15"/>
      <c r="U829" s="15"/>
      <c r="V829" s="15"/>
      <c r="W829" s="92" t="s">
        <v>1737</v>
      </c>
    </row>
    <row r="830" spans="1:23" s="79" customFormat="1" ht="38.25" x14ac:dyDescent="0.2">
      <c r="A830" s="1" t="s">
        <v>75</v>
      </c>
      <c r="B830" s="2" t="s">
        <v>16</v>
      </c>
      <c r="C830" s="2" t="s">
        <v>76</v>
      </c>
      <c r="D830" s="2" t="s">
        <v>77</v>
      </c>
      <c r="E830" s="2">
        <v>2023</v>
      </c>
      <c r="F830" s="2" t="s">
        <v>13</v>
      </c>
      <c r="G830" s="2" t="s">
        <v>3095</v>
      </c>
      <c r="H830" s="2" t="s">
        <v>3092</v>
      </c>
      <c r="I830" s="1" t="s">
        <v>14</v>
      </c>
      <c r="J830" s="1" t="s">
        <v>5258</v>
      </c>
      <c r="K830" s="17"/>
      <c r="L830" s="54">
        <v>0.29699999999999999</v>
      </c>
      <c r="M830" s="39"/>
      <c r="N830" s="39"/>
      <c r="O830" s="39">
        <f>300.6+524.4+50.1</f>
        <v>875.1</v>
      </c>
      <c r="P830" s="39"/>
      <c r="Q830" s="39"/>
      <c r="R830" s="39"/>
      <c r="S830" s="39"/>
      <c r="T830" s="39"/>
      <c r="U830" s="39"/>
      <c r="V830" s="39"/>
      <c r="W830" s="92"/>
    </row>
    <row r="831" spans="1:23" s="79" customFormat="1" ht="51" x14ac:dyDescent="0.2">
      <c r="A831" s="1" t="s">
        <v>75</v>
      </c>
      <c r="B831" s="2" t="s">
        <v>16</v>
      </c>
      <c r="C831" s="2" t="s">
        <v>76</v>
      </c>
      <c r="D831" s="2" t="s">
        <v>77</v>
      </c>
      <c r="E831" s="2">
        <v>2023</v>
      </c>
      <c r="F831" s="2" t="s">
        <v>203</v>
      </c>
      <c r="G831" s="2" t="s">
        <v>3095</v>
      </c>
      <c r="H831" s="2" t="s">
        <v>3092</v>
      </c>
      <c r="I831" s="1" t="s">
        <v>14</v>
      </c>
      <c r="J831" s="1" t="s">
        <v>5259</v>
      </c>
      <c r="K831" s="17"/>
      <c r="L831" s="54">
        <v>0.30499999999999999</v>
      </c>
      <c r="M831" s="39"/>
      <c r="N831" s="39"/>
      <c r="O831" s="39">
        <f>431.9+85.9+305.4</f>
        <v>823.19999999999993</v>
      </c>
      <c r="P831" s="39"/>
      <c r="Q831" s="39"/>
      <c r="R831" s="39"/>
      <c r="S831" s="39"/>
      <c r="T831" s="39"/>
      <c r="U831" s="39"/>
      <c r="V831" s="39"/>
      <c r="W831" s="92"/>
    </row>
    <row r="832" spans="1:23" s="79" customFormat="1" ht="38.25" x14ac:dyDescent="0.2">
      <c r="A832" s="1" t="s">
        <v>75</v>
      </c>
      <c r="B832" s="2" t="s">
        <v>16</v>
      </c>
      <c r="C832" s="2" t="s">
        <v>76</v>
      </c>
      <c r="D832" s="2" t="s">
        <v>77</v>
      </c>
      <c r="E832" s="2">
        <v>2023</v>
      </c>
      <c r="F832" s="2" t="s">
        <v>211</v>
      </c>
      <c r="G832" s="2" t="s">
        <v>3095</v>
      </c>
      <c r="H832" s="2" t="s">
        <v>3092</v>
      </c>
      <c r="I832" s="1" t="s">
        <v>14</v>
      </c>
      <c r="J832" s="1" t="s">
        <v>5260</v>
      </c>
      <c r="K832" s="17"/>
      <c r="L832" s="54" t="s">
        <v>1670</v>
      </c>
      <c r="M832" s="39"/>
      <c r="N832" s="39"/>
      <c r="O832" s="39">
        <f>702.6+69.8</f>
        <v>772.4</v>
      </c>
      <c r="P832" s="39"/>
      <c r="Q832" s="39"/>
      <c r="R832" s="39"/>
      <c r="S832" s="39"/>
      <c r="T832" s="39"/>
      <c r="U832" s="39"/>
      <c r="V832" s="39"/>
      <c r="W832" s="92"/>
    </row>
    <row r="833" spans="1:23" s="79" customFormat="1" ht="51" x14ac:dyDescent="0.2">
      <c r="A833" s="1" t="s">
        <v>75</v>
      </c>
      <c r="B833" s="2" t="s">
        <v>16</v>
      </c>
      <c r="C833" s="2" t="s">
        <v>76</v>
      </c>
      <c r="D833" s="2" t="s">
        <v>77</v>
      </c>
      <c r="E833" s="2">
        <v>2023</v>
      </c>
      <c r="F833" s="2" t="s">
        <v>221</v>
      </c>
      <c r="G833" s="2" t="s">
        <v>3095</v>
      </c>
      <c r="H833" s="2" t="s">
        <v>3092</v>
      </c>
      <c r="I833" s="1" t="s">
        <v>14</v>
      </c>
      <c r="J833" s="1" t="s">
        <v>5261</v>
      </c>
      <c r="K833" s="17"/>
      <c r="L833" s="54">
        <v>0.311</v>
      </c>
      <c r="M833" s="39"/>
      <c r="N833" s="39"/>
      <c r="O833" s="39">
        <v>892</v>
      </c>
      <c r="P833" s="39"/>
      <c r="Q833" s="39"/>
      <c r="R833" s="39"/>
      <c r="S833" s="39"/>
      <c r="T833" s="39"/>
      <c r="U833" s="39"/>
      <c r="V833" s="39"/>
      <c r="W833" s="92" t="s">
        <v>5262</v>
      </c>
    </row>
    <row r="834" spans="1:23" s="79" customFormat="1" ht="25.5" x14ac:dyDescent="0.2">
      <c r="A834" s="1" t="s">
        <v>75</v>
      </c>
      <c r="B834" s="2" t="s">
        <v>16</v>
      </c>
      <c r="C834" s="2" t="s">
        <v>76</v>
      </c>
      <c r="D834" s="2" t="s">
        <v>77</v>
      </c>
      <c r="E834" s="2">
        <v>2023</v>
      </c>
      <c r="F834" s="2" t="s">
        <v>256</v>
      </c>
      <c r="G834" s="2" t="s">
        <v>3095</v>
      </c>
      <c r="H834" s="2" t="s">
        <v>3092</v>
      </c>
      <c r="I834" s="1" t="s">
        <v>14</v>
      </c>
      <c r="J834" s="1" t="s">
        <v>5263</v>
      </c>
      <c r="K834" s="17"/>
      <c r="L834" s="54" t="s">
        <v>1670</v>
      </c>
      <c r="M834" s="39"/>
      <c r="N834" s="39"/>
      <c r="O834" s="39">
        <f>575.49+382.62</f>
        <v>958.11</v>
      </c>
      <c r="P834" s="39"/>
      <c r="Q834" s="39"/>
      <c r="R834" s="39"/>
      <c r="S834" s="39"/>
      <c r="T834" s="39"/>
      <c r="U834" s="39"/>
      <c r="V834" s="39"/>
      <c r="W834" s="92"/>
    </row>
    <row r="835" spans="1:23" s="79" customFormat="1" ht="38.25" x14ac:dyDescent="0.2">
      <c r="A835" s="1" t="s">
        <v>75</v>
      </c>
      <c r="B835" s="2" t="s">
        <v>16</v>
      </c>
      <c r="C835" s="2" t="s">
        <v>76</v>
      </c>
      <c r="D835" s="2" t="s">
        <v>77</v>
      </c>
      <c r="E835" s="2">
        <v>2023</v>
      </c>
      <c r="F835" s="2" t="s">
        <v>276</v>
      </c>
      <c r="G835" s="2" t="s">
        <v>3095</v>
      </c>
      <c r="H835" s="2" t="s">
        <v>3092</v>
      </c>
      <c r="I835" s="1" t="s">
        <v>14</v>
      </c>
      <c r="J835" s="1" t="s">
        <v>5264</v>
      </c>
      <c r="K835" s="17"/>
      <c r="L835" s="54">
        <v>0.33</v>
      </c>
      <c r="M835" s="39"/>
      <c r="N835" s="39"/>
      <c r="O835" s="39">
        <f>147+715</f>
        <v>862</v>
      </c>
      <c r="P835" s="39"/>
      <c r="Q835" s="39"/>
      <c r="R835" s="39"/>
      <c r="S835" s="39"/>
      <c r="T835" s="39"/>
      <c r="U835" s="39"/>
      <c r="V835" s="39"/>
      <c r="W835" s="92"/>
    </row>
    <row r="836" spans="1:23" s="79" customFormat="1" ht="25.5" x14ac:dyDescent="0.2">
      <c r="A836" s="1" t="s">
        <v>75</v>
      </c>
      <c r="B836" s="2" t="s">
        <v>16</v>
      </c>
      <c r="C836" s="2" t="s">
        <v>76</v>
      </c>
      <c r="D836" s="2" t="s">
        <v>77</v>
      </c>
      <c r="E836" s="2">
        <v>2023</v>
      </c>
      <c r="F836" s="2" t="s">
        <v>291</v>
      </c>
      <c r="G836" s="2" t="s">
        <v>3095</v>
      </c>
      <c r="H836" s="2" t="s">
        <v>3092</v>
      </c>
      <c r="I836" s="1" t="s">
        <v>14</v>
      </c>
      <c r="J836" s="1" t="s">
        <v>5265</v>
      </c>
      <c r="K836" s="17"/>
      <c r="L836" s="54">
        <v>0.317</v>
      </c>
      <c r="M836" s="39"/>
      <c r="N836" s="39"/>
      <c r="O836" s="39">
        <f>616.3+212.37+37.2</f>
        <v>865.87</v>
      </c>
      <c r="P836" s="39"/>
      <c r="Q836" s="39"/>
      <c r="R836" s="39"/>
      <c r="S836" s="39"/>
      <c r="T836" s="39"/>
      <c r="U836" s="39"/>
      <c r="V836" s="39"/>
      <c r="W836" s="92"/>
    </row>
    <row r="837" spans="1:23" s="79" customFormat="1" ht="51" x14ac:dyDescent="0.2">
      <c r="A837" s="1" t="s">
        <v>75</v>
      </c>
      <c r="B837" s="2" t="s">
        <v>16</v>
      </c>
      <c r="C837" s="2" t="s">
        <v>76</v>
      </c>
      <c r="D837" s="2" t="s">
        <v>77</v>
      </c>
      <c r="E837" s="2">
        <v>2023</v>
      </c>
      <c r="F837" s="2" t="s">
        <v>311</v>
      </c>
      <c r="G837" s="2" t="s">
        <v>3095</v>
      </c>
      <c r="H837" s="2" t="s">
        <v>3092</v>
      </c>
      <c r="I837" s="1" t="s">
        <v>14</v>
      </c>
      <c r="J837" s="1" t="s">
        <v>5266</v>
      </c>
      <c r="K837" s="17"/>
      <c r="L837" s="54">
        <v>0.312</v>
      </c>
      <c r="M837" s="39"/>
      <c r="N837" s="39"/>
      <c r="O837" s="39">
        <f>448.3+101.1+242.2+24.3</f>
        <v>815.89999999999986</v>
      </c>
      <c r="P837" s="39"/>
      <c r="Q837" s="39"/>
      <c r="R837" s="39"/>
      <c r="S837" s="39"/>
      <c r="T837" s="39"/>
      <c r="U837" s="39"/>
      <c r="V837" s="39"/>
      <c r="W837" s="92"/>
    </row>
    <row r="838" spans="1:23" s="79" customFormat="1" ht="25.5" x14ac:dyDescent="0.2">
      <c r="A838" s="1" t="s">
        <v>75</v>
      </c>
      <c r="B838" s="2" t="s">
        <v>16</v>
      </c>
      <c r="C838" s="2" t="s">
        <v>76</v>
      </c>
      <c r="D838" s="2" t="s">
        <v>77</v>
      </c>
      <c r="E838" s="2">
        <v>2023</v>
      </c>
      <c r="F838" s="2" t="s">
        <v>337</v>
      </c>
      <c r="G838" s="2" t="s">
        <v>3095</v>
      </c>
      <c r="H838" s="2" t="s">
        <v>3092</v>
      </c>
      <c r="I838" s="1" t="s">
        <v>14</v>
      </c>
      <c r="J838" s="1" t="s">
        <v>5267</v>
      </c>
      <c r="K838" s="17"/>
      <c r="L838" s="54"/>
      <c r="M838" s="39"/>
      <c r="N838" s="39"/>
      <c r="O838" s="39">
        <v>892</v>
      </c>
      <c r="P838" s="39"/>
      <c r="Q838" s="39"/>
      <c r="R838" s="39"/>
      <c r="S838" s="39"/>
      <c r="T838" s="39"/>
      <c r="U838" s="39"/>
      <c r="V838" s="39"/>
      <c r="W838" s="92" t="s">
        <v>5268</v>
      </c>
    </row>
    <row r="839" spans="1:23" s="79" customFormat="1" ht="25.5" x14ac:dyDescent="0.2">
      <c r="A839" s="1" t="s">
        <v>75</v>
      </c>
      <c r="B839" s="2" t="s">
        <v>16</v>
      </c>
      <c r="C839" s="2" t="s">
        <v>76</v>
      </c>
      <c r="D839" s="2" t="s">
        <v>77</v>
      </c>
      <c r="E839" s="2">
        <v>2023</v>
      </c>
      <c r="F839" s="2" t="s">
        <v>364</v>
      </c>
      <c r="G839" s="2" t="s">
        <v>3095</v>
      </c>
      <c r="H839" s="2" t="s">
        <v>3092</v>
      </c>
      <c r="I839" s="1" t="s">
        <v>14</v>
      </c>
      <c r="J839" s="1" t="s">
        <v>5269</v>
      </c>
      <c r="K839" s="17"/>
      <c r="L839" s="54">
        <v>0.316</v>
      </c>
      <c r="M839" s="39"/>
      <c r="N839" s="39"/>
      <c r="O839" s="15">
        <v>974.12</v>
      </c>
      <c r="P839" s="3"/>
      <c r="Q839" s="39"/>
      <c r="R839" s="39"/>
      <c r="S839" s="39"/>
      <c r="T839" s="39"/>
      <c r="U839" s="39"/>
      <c r="V839" s="39"/>
      <c r="W839" s="92"/>
    </row>
    <row r="840" spans="1:23" s="79" customFormat="1" ht="25.5" x14ac:dyDescent="0.2">
      <c r="A840" s="1" t="s">
        <v>75</v>
      </c>
      <c r="B840" s="2" t="s">
        <v>16</v>
      </c>
      <c r="C840" s="2" t="s">
        <v>76</v>
      </c>
      <c r="D840" s="2" t="s">
        <v>77</v>
      </c>
      <c r="E840" s="2">
        <v>2023</v>
      </c>
      <c r="F840" s="2" t="s">
        <v>388</v>
      </c>
      <c r="G840" s="2" t="s">
        <v>3095</v>
      </c>
      <c r="H840" s="2" t="s">
        <v>3092</v>
      </c>
      <c r="I840" s="1" t="s">
        <v>14</v>
      </c>
      <c r="J840" s="1" t="s">
        <v>5270</v>
      </c>
      <c r="K840" s="17"/>
      <c r="L840" s="54">
        <v>0.307</v>
      </c>
      <c r="M840" s="39"/>
      <c r="N840" s="39"/>
      <c r="O840" s="39">
        <f>962.31+121.7</f>
        <v>1084.01</v>
      </c>
      <c r="P840" s="39"/>
      <c r="Q840" s="39"/>
      <c r="R840" s="39"/>
      <c r="S840" s="39"/>
      <c r="T840" s="39"/>
      <c r="U840" s="39"/>
      <c r="V840" s="39"/>
      <c r="W840" s="92"/>
    </row>
    <row r="841" spans="1:23" s="79" customFormat="1" ht="140.25" x14ac:dyDescent="0.2">
      <c r="A841" s="1" t="s">
        <v>836</v>
      </c>
      <c r="B841" s="2" t="s">
        <v>198</v>
      </c>
      <c r="C841" s="2" t="s">
        <v>837</v>
      </c>
      <c r="D841" s="2" t="s">
        <v>92</v>
      </c>
      <c r="E841" s="2">
        <v>2023</v>
      </c>
      <c r="F841" s="2" t="s">
        <v>364</v>
      </c>
      <c r="G841" s="2" t="s">
        <v>3092</v>
      </c>
      <c r="H841" s="2" t="s">
        <v>3092</v>
      </c>
      <c r="I841" s="1" t="s">
        <v>5271</v>
      </c>
      <c r="J841" s="1" t="s">
        <v>5272</v>
      </c>
      <c r="K841" s="17"/>
      <c r="L841" s="54" t="s">
        <v>1670</v>
      </c>
      <c r="M841" s="39"/>
      <c r="N841" s="39"/>
      <c r="O841" s="39">
        <f>1041+218+37</f>
        <v>1296</v>
      </c>
      <c r="P841" s="39"/>
      <c r="Q841" s="39"/>
      <c r="R841" s="39"/>
      <c r="S841" s="39"/>
      <c r="T841" s="39"/>
      <c r="U841" s="39"/>
      <c r="V841" s="39"/>
      <c r="W841" s="92" t="s">
        <v>1682</v>
      </c>
    </row>
    <row r="842" spans="1:23" s="79" customFormat="1" ht="25.5" x14ac:dyDescent="0.2">
      <c r="A842" s="1" t="s">
        <v>5273</v>
      </c>
      <c r="B842" s="2" t="s">
        <v>198</v>
      </c>
      <c r="C842" s="2" t="s">
        <v>5274</v>
      </c>
      <c r="D842" s="2" t="s">
        <v>5275</v>
      </c>
      <c r="E842" s="2">
        <v>2023</v>
      </c>
      <c r="F842" s="2" t="s">
        <v>291</v>
      </c>
      <c r="G842" s="2" t="s">
        <v>3092</v>
      </c>
      <c r="H842" s="2" t="s">
        <v>3092</v>
      </c>
      <c r="I842" s="1" t="s">
        <v>5276</v>
      </c>
      <c r="J842" s="1" t="s">
        <v>5277</v>
      </c>
      <c r="K842" s="17"/>
      <c r="L842" s="54"/>
      <c r="M842" s="39"/>
      <c r="N842" s="39"/>
      <c r="O842" s="39"/>
      <c r="P842" s="39"/>
      <c r="Q842" s="39"/>
      <c r="R842" s="39"/>
      <c r="S842" s="39"/>
      <c r="T842" s="39"/>
      <c r="U842" s="39"/>
      <c r="V842" s="3"/>
      <c r="W842" s="92"/>
    </row>
    <row r="843" spans="1:23" s="79" customFormat="1" ht="102" x14ac:dyDescent="0.2">
      <c r="A843" s="1" t="s">
        <v>372</v>
      </c>
      <c r="B843" s="2" t="s">
        <v>32</v>
      </c>
      <c r="C843" s="2" t="s">
        <v>373</v>
      </c>
      <c r="D843" s="2" t="s">
        <v>115</v>
      </c>
      <c r="E843" s="2">
        <v>2023</v>
      </c>
      <c r="F843" s="2" t="s">
        <v>337</v>
      </c>
      <c r="G843" s="2" t="s">
        <v>3095</v>
      </c>
      <c r="H843" s="2" t="s">
        <v>3092</v>
      </c>
      <c r="I843" s="1" t="s">
        <v>14</v>
      </c>
      <c r="J843" s="1" t="s">
        <v>5278</v>
      </c>
      <c r="K843" s="17"/>
      <c r="L843" s="54" t="s">
        <v>1670</v>
      </c>
      <c r="M843" s="39"/>
      <c r="N843" s="39"/>
      <c r="O843" s="39">
        <f>450000*0.004546</f>
        <v>2045.6999999999998</v>
      </c>
      <c r="P843" s="39"/>
      <c r="Q843" s="39"/>
      <c r="R843" s="39"/>
      <c r="S843" s="39"/>
      <c r="T843" s="39"/>
      <c r="U843" s="39"/>
      <c r="V843" s="39"/>
      <c r="W843" s="92" t="s">
        <v>1701</v>
      </c>
    </row>
    <row r="844" spans="1:23" s="79" customFormat="1" ht="25.5" x14ac:dyDescent="0.2">
      <c r="A844" s="1" t="s">
        <v>331</v>
      </c>
      <c r="B844" s="2" t="s">
        <v>277</v>
      </c>
      <c r="C844" s="2" t="s">
        <v>332</v>
      </c>
      <c r="D844" s="2" t="s">
        <v>333</v>
      </c>
      <c r="E844" s="2">
        <v>2023</v>
      </c>
      <c r="F844" s="2" t="s">
        <v>311</v>
      </c>
      <c r="G844" s="2" t="s">
        <v>3092</v>
      </c>
      <c r="H844" s="2" t="s">
        <v>3093</v>
      </c>
      <c r="I844" s="1" t="s">
        <v>5279</v>
      </c>
      <c r="J844" s="1" t="s">
        <v>1667</v>
      </c>
      <c r="K844" s="17"/>
      <c r="L844" s="54"/>
      <c r="M844" s="39"/>
      <c r="N844" s="39"/>
      <c r="O844" s="39"/>
      <c r="P844" s="39"/>
      <c r="Q844" s="39"/>
      <c r="R844" s="39"/>
      <c r="S844" s="39"/>
      <c r="T844" s="39"/>
      <c r="U844" s="39"/>
      <c r="V844" s="39"/>
      <c r="W844" s="92" t="s">
        <v>1683</v>
      </c>
    </row>
    <row r="845" spans="1:23" s="79" customFormat="1" ht="127.5" x14ac:dyDescent="0.2">
      <c r="A845" s="1" t="s">
        <v>469</v>
      </c>
      <c r="B845" s="2" t="s">
        <v>198</v>
      </c>
      <c r="C845" s="2" t="s">
        <v>470</v>
      </c>
      <c r="D845" s="2" t="s">
        <v>240</v>
      </c>
      <c r="E845" s="2">
        <v>2023</v>
      </c>
      <c r="F845" s="2" t="s">
        <v>337</v>
      </c>
      <c r="G845" s="2" t="s">
        <v>3092</v>
      </c>
      <c r="H845" s="2" t="s">
        <v>3093</v>
      </c>
      <c r="I845" s="1" t="s">
        <v>5280</v>
      </c>
      <c r="J845" s="1" t="s">
        <v>14</v>
      </c>
      <c r="K845" s="17"/>
      <c r="L845" s="54"/>
      <c r="M845" s="15"/>
      <c r="N845" s="15"/>
      <c r="O845" s="15"/>
      <c r="P845" s="15"/>
      <c r="Q845" s="15"/>
      <c r="R845" s="15"/>
      <c r="S845" s="15"/>
      <c r="T845" s="15"/>
      <c r="U845" s="15"/>
      <c r="V845" s="15"/>
      <c r="W845" s="92" t="s">
        <v>1695</v>
      </c>
    </row>
    <row r="846" spans="1:23" s="79" customFormat="1" ht="76.5" x14ac:dyDescent="0.2">
      <c r="A846" s="1" t="s">
        <v>250</v>
      </c>
      <c r="B846" s="2" t="s">
        <v>213</v>
      </c>
      <c r="C846" s="2" t="s">
        <v>251</v>
      </c>
      <c r="D846" s="2" t="s">
        <v>239</v>
      </c>
      <c r="E846" s="2">
        <v>2023</v>
      </c>
      <c r="F846" s="2" t="s">
        <v>276</v>
      </c>
      <c r="G846" s="2" t="s">
        <v>3092</v>
      </c>
      <c r="H846" s="2" t="s">
        <v>3092</v>
      </c>
      <c r="I846" s="1" t="s">
        <v>5281</v>
      </c>
      <c r="J846" s="1" t="s">
        <v>5282</v>
      </c>
      <c r="K846" s="17"/>
      <c r="L846" s="54" t="s">
        <v>1670</v>
      </c>
      <c r="M846" s="39"/>
      <c r="N846" s="39"/>
      <c r="O846" s="39"/>
      <c r="P846" s="39"/>
      <c r="Q846" s="39"/>
      <c r="R846" s="39">
        <v>65</v>
      </c>
      <c r="S846" s="39"/>
      <c r="T846" s="39"/>
      <c r="U846" s="39"/>
      <c r="V846" s="39"/>
      <c r="W846" s="92" t="s">
        <v>5283</v>
      </c>
    </row>
    <row r="847" spans="1:23" s="79" customFormat="1" ht="178.5" x14ac:dyDescent="0.2">
      <c r="A847" s="1" t="s">
        <v>401</v>
      </c>
      <c r="B847" s="2" t="s">
        <v>196</v>
      </c>
      <c r="C847" s="2" t="s">
        <v>402</v>
      </c>
      <c r="D847" s="2" t="s">
        <v>100</v>
      </c>
      <c r="E847" s="2">
        <v>2023</v>
      </c>
      <c r="F847" s="2" t="s">
        <v>337</v>
      </c>
      <c r="G847" s="2" t="s">
        <v>3092</v>
      </c>
      <c r="H847" s="2" t="s">
        <v>3092</v>
      </c>
      <c r="I847" s="1" t="s">
        <v>5284</v>
      </c>
      <c r="J847" s="1" t="s">
        <v>5285</v>
      </c>
      <c r="K847" s="17"/>
      <c r="L847" s="54">
        <v>0.26400000000000001</v>
      </c>
      <c r="M847" s="39"/>
      <c r="N847" s="39"/>
      <c r="O847" s="39">
        <f>(84.36/0.33)+(46.27/0.3)+(59.41/0.25)</f>
        <v>647.50969696969696</v>
      </c>
      <c r="P847" s="39"/>
      <c r="Q847" s="39"/>
      <c r="R847" s="39"/>
      <c r="S847" s="3">
        <f>190.75/0.24</f>
        <v>794.79166666666674</v>
      </c>
      <c r="T847" s="39"/>
      <c r="U847" s="39"/>
      <c r="V847" s="39"/>
      <c r="W847" s="92"/>
    </row>
    <row r="848" spans="1:23" s="79" customFormat="1" ht="76.5" x14ac:dyDescent="0.2">
      <c r="A848" s="1" t="s">
        <v>401</v>
      </c>
      <c r="B848" s="2" t="s">
        <v>196</v>
      </c>
      <c r="C848" s="2" t="s">
        <v>402</v>
      </c>
      <c r="D848" s="2" t="s">
        <v>100</v>
      </c>
      <c r="E848" s="2">
        <v>2023</v>
      </c>
      <c r="F848" s="2" t="s">
        <v>364</v>
      </c>
      <c r="G848" s="2" t="s">
        <v>3092</v>
      </c>
      <c r="H848" s="2" t="s">
        <v>3092</v>
      </c>
      <c r="I848" s="1" t="s">
        <v>5286</v>
      </c>
      <c r="J848" s="1" t="s">
        <v>5287</v>
      </c>
      <c r="K848" s="17"/>
      <c r="L848" s="54">
        <v>0.26</v>
      </c>
      <c r="M848" s="39"/>
      <c r="N848" s="39"/>
      <c r="O848" s="39">
        <f>(9.65/0.32)+(47.25/0.25)</f>
        <v>219.15625</v>
      </c>
      <c r="P848" s="39"/>
      <c r="Q848" s="39"/>
      <c r="R848" s="39"/>
      <c r="S848" s="39"/>
      <c r="T848" s="39"/>
      <c r="U848" s="39"/>
      <c r="V848" s="39"/>
      <c r="W848" s="92"/>
    </row>
    <row r="849" spans="1:23" s="79" customFormat="1" ht="25.5" x14ac:dyDescent="0.2">
      <c r="A849" s="1" t="s">
        <v>1339</v>
      </c>
      <c r="B849" s="2" t="s">
        <v>213</v>
      </c>
      <c r="C849" s="2" t="s">
        <v>1340</v>
      </c>
      <c r="D849" s="2" t="s">
        <v>88</v>
      </c>
      <c r="E849" s="2">
        <v>2023</v>
      </c>
      <c r="F849" s="2" t="s">
        <v>276</v>
      </c>
      <c r="G849" s="2" t="s">
        <v>3095</v>
      </c>
      <c r="H849" s="2" t="s">
        <v>3092</v>
      </c>
      <c r="I849" s="1" t="s">
        <v>14</v>
      </c>
      <c r="J849" s="1" t="s">
        <v>5288</v>
      </c>
      <c r="K849" s="17"/>
      <c r="L849" s="54" t="s">
        <v>1670</v>
      </c>
      <c r="M849" s="39"/>
      <c r="N849" s="39"/>
      <c r="O849" s="39"/>
      <c r="P849" s="39"/>
      <c r="Q849" s="39"/>
      <c r="R849" s="39"/>
      <c r="S849" s="39"/>
      <c r="T849" s="39"/>
      <c r="U849" s="39"/>
      <c r="V849" s="39">
        <v>10</v>
      </c>
      <c r="W849" s="92" t="s">
        <v>1682</v>
      </c>
    </row>
    <row r="850" spans="1:23" s="79" customFormat="1" ht="38.25" x14ac:dyDescent="0.2">
      <c r="A850" s="1" t="s">
        <v>83</v>
      </c>
      <c r="B850" s="2" t="s">
        <v>38</v>
      </c>
      <c r="C850" s="2" t="s">
        <v>84</v>
      </c>
      <c r="D850" s="2" t="s">
        <v>85</v>
      </c>
      <c r="E850" s="2">
        <v>2023</v>
      </c>
      <c r="F850" s="2" t="s">
        <v>256</v>
      </c>
      <c r="G850" s="2" t="s">
        <v>3095</v>
      </c>
      <c r="H850" s="2" t="s">
        <v>3092</v>
      </c>
      <c r="I850" s="1" t="s">
        <v>14</v>
      </c>
      <c r="J850" s="1" t="s">
        <v>5289</v>
      </c>
      <c r="K850" s="17"/>
      <c r="L850" s="54">
        <v>0.28000000000000003</v>
      </c>
      <c r="M850" s="39"/>
      <c r="N850" s="39"/>
      <c r="O850" s="39">
        <v>17.440000000000001</v>
      </c>
      <c r="P850" s="39"/>
      <c r="Q850" s="39"/>
      <c r="R850" s="39"/>
      <c r="S850" s="39"/>
      <c r="T850" s="39"/>
      <c r="U850" s="39"/>
      <c r="V850" s="39"/>
      <c r="W850" s="92"/>
    </row>
    <row r="851" spans="1:23" s="79" customFormat="1" ht="38.25" x14ac:dyDescent="0.2">
      <c r="A851" s="1" t="s">
        <v>83</v>
      </c>
      <c r="B851" s="2" t="s">
        <v>38</v>
      </c>
      <c r="C851" s="2" t="s">
        <v>84</v>
      </c>
      <c r="D851" s="2" t="s">
        <v>85</v>
      </c>
      <c r="E851" s="2">
        <v>2023</v>
      </c>
      <c r="F851" s="2" t="s">
        <v>311</v>
      </c>
      <c r="G851" s="2" t="s">
        <v>3095</v>
      </c>
      <c r="H851" s="2" t="s">
        <v>3092</v>
      </c>
      <c r="I851" s="1" t="s">
        <v>14</v>
      </c>
      <c r="J851" s="1" t="s">
        <v>5290</v>
      </c>
      <c r="K851" s="17"/>
      <c r="L851" s="54"/>
      <c r="M851" s="39"/>
      <c r="N851" s="39"/>
      <c r="O851" s="39"/>
      <c r="P851" s="39"/>
      <c r="Q851" s="39"/>
      <c r="R851" s="39"/>
      <c r="S851" s="39"/>
      <c r="T851" s="39"/>
      <c r="U851" s="39"/>
      <c r="V851" s="39"/>
      <c r="W851" s="92"/>
    </row>
    <row r="852" spans="1:23" s="79" customFormat="1" ht="38.25" x14ac:dyDescent="0.2">
      <c r="A852" s="1" t="s">
        <v>83</v>
      </c>
      <c r="B852" s="2" t="s">
        <v>38</v>
      </c>
      <c r="C852" s="2" t="s">
        <v>84</v>
      </c>
      <c r="D852" s="2" t="s">
        <v>85</v>
      </c>
      <c r="E852" s="2">
        <v>2023</v>
      </c>
      <c r="F852" s="2" t="s">
        <v>337</v>
      </c>
      <c r="G852" s="2" t="s">
        <v>3095</v>
      </c>
      <c r="H852" s="2" t="s">
        <v>3092</v>
      </c>
      <c r="I852" s="1" t="s">
        <v>14</v>
      </c>
      <c r="J852" s="1" t="s">
        <v>5291</v>
      </c>
      <c r="K852" s="17"/>
      <c r="L852" s="54">
        <v>0.25</v>
      </c>
      <c r="M852" s="39"/>
      <c r="N852" s="39"/>
      <c r="O852" s="39">
        <v>15.03</v>
      </c>
      <c r="P852" s="39"/>
      <c r="Q852" s="39"/>
      <c r="R852" s="39"/>
      <c r="S852" s="39"/>
      <c r="T852" s="39"/>
      <c r="U852" s="39"/>
      <c r="V852" s="39"/>
      <c r="W852" s="92"/>
    </row>
    <row r="853" spans="1:23" s="79" customFormat="1" ht="51" x14ac:dyDescent="0.2">
      <c r="A853" s="1" t="s">
        <v>468</v>
      </c>
      <c r="B853" s="2" t="s">
        <v>218</v>
      </c>
      <c r="C853" s="2" t="s">
        <v>84</v>
      </c>
      <c r="D853" s="2" t="s">
        <v>85</v>
      </c>
      <c r="E853" s="2">
        <v>2023</v>
      </c>
      <c r="F853" s="2" t="s">
        <v>311</v>
      </c>
      <c r="G853" s="2" t="s">
        <v>3092</v>
      </c>
      <c r="H853" s="2" t="s">
        <v>3092</v>
      </c>
      <c r="I853" s="1" t="s">
        <v>5292</v>
      </c>
      <c r="J853" s="1" t="s">
        <v>5293</v>
      </c>
      <c r="K853" s="17"/>
      <c r="L853" s="54">
        <v>2.1999999999999999E-2</v>
      </c>
      <c r="M853" s="39"/>
      <c r="N853" s="39"/>
      <c r="O853" s="39">
        <v>171</v>
      </c>
      <c r="P853" s="39"/>
      <c r="Q853" s="39"/>
      <c r="R853" s="39"/>
      <c r="S853" s="39"/>
      <c r="T853" s="39"/>
      <c r="U853" s="39"/>
      <c r="V853" s="39"/>
      <c r="W853" s="92" t="s">
        <v>1699</v>
      </c>
    </row>
    <row r="854" spans="1:23" s="79" customFormat="1" ht="114.75" x14ac:dyDescent="0.2">
      <c r="A854" s="1" t="s">
        <v>5294</v>
      </c>
      <c r="B854" s="2" t="s">
        <v>196</v>
      </c>
      <c r="C854" s="2" t="s">
        <v>5295</v>
      </c>
      <c r="D854" s="2" t="s">
        <v>71</v>
      </c>
      <c r="E854" s="2">
        <v>2023</v>
      </c>
      <c r="F854" s="2" t="s">
        <v>256</v>
      </c>
      <c r="G854" s="2" t="s">
        <v>3092</v>
      </c>
      <c r="H854" s="2" t="s">
        <v>3093</v>
      </c>
      <c r="I854" s="1" t="s">
        <v>5296</v>
      </c>
      <c r="J854" s="1" t="s">
        <v>14</v>
      </c>
      <c r="K854" s="17"/>
      <c r="L854" s="54"/>
      <c r="M854" s="39"/>
      <c r="N854" s="39"/>
      <c r="O854" s="39"/>
      <c r="P854" s="39"/>
      <c r="Q854" s="39"/>
      <c r="R854" s="39"/>
      <c r="S854" s="39"/>
      <c r="T854" s="39"/>
      <c r="U854" s="39"/>
      <c r="V854" s="39"/>
      <c r="W854" s="92" t="s">
        <v>1683</v>
      </c>
    </row>
    <row r="855" spans="1:23" s="79" customFormat="1" ht="140.25" x14ac:dyDescent="0.2">
      <c r="A855" s="1" t="s">
        <v>5294</v>
      </c>
      <c r="B855" s="2" t="s">
        <v>196</v>
      </c>
      <c r="C855" s="2" t="s">
        <v>5295</v>
      </c>
      <c r="D855" s="2" t="s">
        <v>71</v>
      </c>
      <c r="E855" s="2">
        <v>2023</v>
      </c>
      <c r="F855" s="2" t="s">
        <v>276</v>
      </c>
      <c r="G855" s="2" t="s">
        <v>3092</v>
      </c>
      <c r="H855" s="2" t="s">
        <v>3093</v>
      </c>
      <c r="I855" s="1" t="s">
        <v>5297</v>
      </c>
      <c r="J855" s="1" t="s">
        <v>14</v>
      </c>
      <c r="K855" s="17"/>
      <c r="L855" s="54"/>
      <c r="M855" s="39"/>
      <c r="N855" s="39"/>
      <c r="O855" s="39"/>
      <c r="P855" s="39"/>
      <c r="Q855" s="39"/>
      <c r="R855" s="39"/>
      <c r="S855" s="39"/>
      <c r="T855" s="39"/>
      <c r="U855" s="39"/>
      <c r="V855" s="39"/>
      <c r="W855" s="92" t="s">
        <v>1683</v>
      </c>
    </row>
    <row r="856" spans="1:23" s="79" customFormat="1" ht="38.25" x14ac:dyDescent="0.2">
      <c r="A856" s="1" t="s">
        <v>5298</v>
      </c>
      <c r="B856" s="2" t="s">
        <v>198</v>
      </c>
      <c r="C856" s="2" t="s">
        <v>5299</v>
      </c>
      <c r="D856" s="2" t="s">
        <v>2056</v>
      </c>
      <c r="E856" s="2">
        <v>2023</v>
      </c>
      <c r="F856" s="2" t="s">
        <v>364</v>
      </c>
      <c r="G856" s="2" t="s">
        <v>3092</v>
      </c>
      <c r="H856" s="2" t="s">
        <v>3093</v>
      </c>
      <c r="I856" s="1" t="s">
        <v>5300</v>
      </c>
      <c r="J856" s="1" t="s">
        <v>14</v>
      </c>
      <c r="K856" s="17"/>
      <c r="L856" s="54"/>
      <c r="M856" s="39"/>
      <c r="N856" s="39"/>
      <c r="O856" s="39"/>
      <c r="P856" s="39"/>
      <c r="Q856" s="39"/>
      <c r="R856" s="39"/>
      <c r="S856" s="39"/>
      <c r="T856" s="39"/>
      <c r="U856" s="39"/>
      <c r="V856" s="39"/>
      <c r="W856" s="92" t="s">
        <v>1695</v>
      </c>
    </row>
    <row r="857" spans="1:23" s="79" customFormat="1" ht="89.25" x14ac:dyDescent="0.2">
      <c r="A857" s="1" t="s">
        <v>5301</v>
      </c>
      <c r="B857" s="2" t="s">
        <v>196</v>
      </c>
      <c r="C857" s="2" t="s">
        <v>282</v>
      </c>
      <c r="D857" s="2" t="s">
        <v>283</v>
      </c>
      <c r="E857" s="2">
        <v>2023</v>
      </c>
      <c r="F857" s="2" t="s">
        <v>256</v>
      </c>
      <c r="G857" s="2" t="s">
        <v>3093</v>
      </c>
      <c r="H857" s="2" t="s">
        <v>3092</v>
      </c>
      <c r="I857" s="1" t="s">
        <v>14</v>
      </c>
      <c r="J857" s="1" t="s">
        <v>5302</v>
      </c>
      <c r="K857" s="17"/>
      <c r="L857" s="54">
        <v>0.22500000000000001</v>
      </c>
      <c r="M857" s="39"/>
      <c r="N857" s="39"/>
      <c r="O857" s="39">
        <f>16.88/L857</f>
        <v>75.022222222222211</v>
      </c>
      <c r="P857" s="39"/>
      <c r="Q857" s="39"/>
      <c r="R857" s="39"/>
      <c r="S857" s="39"/>
      <c r="T857" s="39"/>
      <c r="U857" s="39"/>
      <c r="V857" s="39"/>
      <c r="W857" s="92"/>
    </row>
    <row r="858" spans="1:23" s="79" customFormat="1" ht="114.75" x14ac:dyDescent="0.2">
      <c r="A858" s="1" t="s">
        <v>5303</v>
      </c>
      <c r="B858" s="2" t="s">
        <v>198</v>
      </c>
      <c r="C858" s="2" t="s">
        <v>5304</v>
      </c>
      <c r="D858" s="2" t="s">
        <v>239</v>
      </c>
      <c r="E858" s="2">
        <v>2023</v>
      </c>
      <c r="F858" s="2" t="s">
        <v>256</v>
      </c>
      <c r="G858" s="2" t="s">
        <v>3092</v>
      </c>
      <c r="H858" s="2" t="s">
        <v>3093</v>
      </c>
      <c r="I858" s="1" t="s">
        <v>5305</v>
      </c>
      <c r="J858" s="1" t="s">
        <v>14</v>
      </c>
      <c r="K858" s="17"/>
      <c r="L858" s="54"/>
      <c r="M858" s="39"/>
      <c r="N858" s="39"/>
      <c r="O858" s="39"/>
      <c r="P858" s="39"/>
      <c r="Q858" s="39"/>
      <c r="R858" s="39"/>
      <c r="S858" s="39"/>
      <c r="T858" s="39"/>
      <c r="U858" s="39"/>
      <c r="V858" s="39"/>
      <c r="W858" s="92" t="s">
        <v>1693</v>
      </c>
    </row>
    <row r="859" spans="1:23" s="79" customFormat="1" ht="165.75" x14ac:dyDescent="0.2">
      <c r="A859" s="1" t="s">
        <v>776</v>
      </c>
      <c r="B859" s="2" t="s">
        <v>196</v>
      </c>
      <c r="C859" s="2" t="s">
        <v>777</v>
      </c>
      <c r="D859" s="2" t="s">
        <v>58</v>
      </c>
      <c r="E859" s="2">
        <v>2023</v>
      </c>
      <c r="F859" s="2" t="s">
        <v>337</v>
      </c>
      <c r="G859" s="2" t="s">
        <v>3092</v>
      </c>
      <c r="H859" s="2" t="s">
        <v>3092</v>
      </c>
      <c r="I859" s="1" t="s">
        <v>5306</v>
      </c>
      <c r="J859" s="1" t="s">
        <v>5307</v>
      </c>
      <c r="K859" s="17"/>
      <c r="L859" s="54">
        <v>0.22</v>
      </c>
      <c r="M859" s="39"/>
      <c r="N859" s="39"/>
      <c r="O859" s="39">
        <f>339.74/L859</f>
        <v>1544.2727272727273</v>
      </c>
      <c r="P859" s="39"/>
      <c r="Q859" s="39"/>
      <c r="R859" s="39"/>
      <c r="S859" s="39"/>
      <c r="T859" s="39"/>
      <c r="U859" s="39"/>
      <c r="V859" s="39"/>
      <c r="W859" s="92"/>
    </row>
    <row r="860" spans="1:23" s="79" customFormat="1" ht="25.5" x14ac:dyDescent="0.2">
      <c r="A860" s="1" t="s">
        <v>37</v>
      </c>
      <c r="B860" s="2" t="s">
        <v>38</v>
      </c>
      <c r="C860" s="2" t="s">
        <v>39</v>
      </c>
      <c r="D860" s="2" t="s">
        <v>40</v>
      </c>
      <c r="E860" s="2">
        <v>2023</v>
      </c>
      <c r="F860" s="2" t="s">
        <v>13</v>
      </c>
      <c r="G860" s="2" t="s">
        <v>3095</v>
      </c>
      <c r="H860" s="2" t="s">
        <v>3092</v>
      </c>
      <c r="I860" s="1" t="s">
        <v>14</v>
      </c>
      <c r="J860" s="1" t="s">
        <v>5308</v>
      </c>
      <c r="K860" s="17"/>
      <c r="L860" s="53" t="s">
        <v>1670</v>
      </c>
      <c r="M860" s="39"/>
      <c r="N860" s="39"/>
      <c r="O860" s="39">
        <v>547.19000000000005</v>
      </c>
      <c r="P860" s="39"/>
      <c r="Q860" s="39"/>
      <c r="R860" s="39"/>
      <c r="S860" s="39"/>
      <c r="T860" s="39"/>
      <c r="U860" s="39"/>
      <c r="V860" s="39"/>
      <c r="W860" s="92" t="s">
        <v>1681</v>
      </c>
    </row>
    <row r="861" spans="1:23" s="79" customFormat="1" ht="25.5" x14ac:dyDescent="0.2">
      <c r="A861" s="1" t="s">
        <v>37</v>
      </c>
      <c r="B861" s="2" t="s">
        <v>38</v>
      </c>
      <c r="C861" s="2" t="s">
        <v>39</v>
      </c>
      <c r="D861" s="2" t="s">
        <v>40</v>
      </c>
      <c r="E861" s="2">
        <v>2023</v>
      </c>
      <c r="F861" s="2" t="s">
        <v>188</v>
      </c>
      <c r="G861" s="2" t="s">
        <v>3095</v>
      </c>
      <c r="H861" s="2" t="s">
        <v>3092</v>
      </c>
      <c r="I861" s="1" t="s">
        <v>14</v>
      </c>
      <c r="J861" s="1" t="s">
        <v>5309</v>
      </c>
      <c r="K861" s="17"/>
      <c r="L861" s="53" t="s">
        <v>1670</v>
      </c>
      <c r="M861" s="39"/>
      <c r="N861" s="39"/>
      <c r="O861" s="39">
        <v>776</v>
      </c>
      <c r="P861" s="39"/>
      <c r="Q861" s="39"/>
      <c r="R861" s="39"/>
      <c r="S861" s="39"/>
      <c r="T861" s="39"/>
      <c r="U861" s="39"/>
      <c r="V861" s="39"/>
      <c r="W861" s="92" t="s">
        <v>1681</v>
      </c>
    </row>
    <row r="862" spans="1:23" s="79" customFormat="1" ht="25.5" x14ac:dyDescent="0.2">
      <c r="A862" s="1" t="s">
        <v>37</v>
      </c>
      <c r="B862" s="2" t="s">
        <v>38</v>
      </c>
      <c r="C862" s="2" t="s">
        <v>39</v>
      </c>
      <c r="D862" s="2" t="s">
        <v>40</v>
      </c>
      <c r="E862" s="2">
        <v>2023</v>
      </c>
      <c r="F862" s="2" t="s">
        <v>203</v>
      </c>
      <c r="G862" s="2" t="s">
        <v>3095</v>
      </c>
      <c r="H862" s="2" t="s">
        <v>3092</v>
      </c>
      <c r="I862" s="1" t="s">
        <v>14</v>
      </c>
      <c r="J862" s="1" t="s">
        <v>5310</v>
      </c>
      <c r="K862" s="17"/>
      <c r="L862" s="53" t="s">
        <v>1670</v>
      </c>
      <c r="M862" s="39"/>
      <c r="N862" s="39"/>
      <c r="O862" s="39">
        <v>892</v>
      </c>
      <c r="P862" s="39"/>
      <c r="Q862" s="39"/>
      <c r="R862" s="39"/>
      <c r="S862" s="39"/>
      <c r="T862" s="39"/>
      <c r="U862" s="39"/>
      <c r="V862" s="39"/>
      <c r="W862" s="92" t="s">
        <v>1681</v>
      </c>
    </row>
    <row r="863" spans="1:23" s="79" customFormat="1" ht="25.5" x14ac:dyDescent="0.2">
      <c r="A863" s="1" t="s">
        <v>37</v>
      </c>
      <c r="B863" s="2" t="s">
        <v>38</v>
      </c>
      <c r="C863" s="2" t="s">
        <v>39</v>
      </c>
      <c r="D863" s="2" t="s">
        <v>40</v>
      </c>
      <c r="E863" s="2">
        <v>2023</v>
      </c>
      <c r="F863" s="2" t="s">
        <v>211</v>
      </c>
      <c r="G863" s="2" t="s">
        <v>3095</v>
      </c>
      <c r="H863" s="2" t="s">
        <v>3092</v>
      </c>
      <c r="I863" s="1" t="s">
        <v>14</v>
      </c>
      <c r="J863" s="1" t="s">
        <v>5311</v>
      </c>
      <c r="K863" s="17"/>
      <c r="L863" s="53" t="s">
        <v>1670</v>
      </c>
      <c r="M863" s="39"/>
      <c r="N863" s="39"/>
      <c r="O863" s="39">
        <v>892</v>
      </c>
      <c r="P863" s="39"/>
      <c r="Q863" s="39"/>
      <c r="R863" s="39"/>
      <c r="S863" s="39"/>
      <c r="T863" s="39"/>
      <c r="U863" s="39"/>
      <c r="V863" s="39"/>
      <c r="W863" s="92" t="s">
        <v>1681</v>
      </c>
    </row>
    <row r="864" spans="1:23" s="79" customFormat="1" ht="25.5" x14ac:dyDescent="0.2">
      <c r="A864" s="1" t="s">
        <v>37</v>
      </c>
      <c r="B864" s="2" t="s">
        <v>38</v>
      </c>
      <c r="C864" s="2" t="s">
        <v>39</v>
      </c>
      <c r="D864" s="2" t="s">
        <v>40</v>
      </c>
      <c r="E864" s="2">
        <v>2023</v>
      </c>
      <c r="F864" s="2" t="s">
        <v>221</v>
      </c>
      <c r="G864" s="2" t="s">
        <v>3095</v>
      </c>
      <c r="H864" s="2" t="s">
        <v>3092</v>
      </c>
      <c r="I864" s="1" t="s">
        <v>14</v>
      </c>
      <c r="J864" s="1" t="s">
        <v>5312</v>
      </c>
      <c r="K864" s="17"/>
      <c r="L864" s="53" t="s">
        <v>1670</v>
      </c>
      <c r="M864" s="39"/>
      <c r="N864" s="39"/>
      <c r="O864" s="39">
        <v>1135</v>
      </c>
      <c r="P864" s="39"/>
      <c r="Q864" s="39"/>
      <c r="R864" s="39"/>
      <c r="S864" s="39"/>
      <c r="T864" s="39"/>
      <c r="U864" s="39"/>
      <c r="V864" s="39"/>
      <c r="W864" s="92" t="s">
        <v>1681</v>
      </c>
    </row>
    <row r="865" spans="1:23" s="79" customFormat="1" ht="25.5" x14ac:dyDescent="0.2">
      <c r="A865" s="1" t="s">
        <v>37</v>
      </c>
      <c r="B865" s="2" t="s">
        <v>38</v>
      </c>
      <c r="C865" s="2" t="s">
        <v>39</v>
      </c>
      <c r="D865" s="2" t="s">
        <v>40</v>
      </c>
      <c r="E865" s="2">
        <v>2023</v>
      </c>
      <c r="F865" s="2" t="s">
        <v>256</v>
      </c>
      <c r="G865" s="2" t="s">
        <v>3095</v>
      </c>
      <c r="H865" s="2" t="s">
        <v>3092</v>
      </c>
      <c r="I865" s="1" t="s">
        <v>14</v>
      </c>
      <c r="J865" s="1" t="s">
        <v>5313</v>
      </c>
      <c r="K865" s="17"/>
      <c r="L865" s="53" t="s">
        <v>1670</v>
      </c>
      <c r="M865" s="39"/>
      <c r="N865" s="39"/>
      <c r="O865" s="39">
        <v>1003</v>
      </c>
      <c r="P865" s="39"/>
      <c r="Q865" s="39"/>
      <c r="R865" s="39"/>
      <c r="S865" s="39"/>
      <c r="T865" s="39"/>
      <c r="U865" s="39"/>
      <c r="V865" s="39"/>
      <c r="W865" s="92" t="s">
        <v>1681</v>
      </c>
    </row>
    <row r="866" spans="1:23" s="79" customFormat="1" ht="25.5" x14ac:dyDescent="0.2">
      <c r="A866" s="1" t="s">
        <v>37</v>
      </c>
      <c r="B866" s="2" t="s">
        <v>38</v>
      </c>
      <c r="C866" s="2" t="s">
        <v>39</v>
      </c>
      <c r="D866" s="2" t="s">
        <v>40</v>
      </c>
      <c r="E866" s="2">
        <v>2023</v>
      </c>
      <c r="F866" s="2" t="s">
        <v>276</v>
      </c>
      <c r="G866" s="2" t="s">
        <v>3095</v>
      </c>
      <c r="H866" s="2" t="s">
        <v>3092</v>
      </c>
      <c r="I866" s="1" t="s">
        <v>14</v>
      </c>
      <c r="J866" s="1" t="s">
        <v>5314</v>
      </c>
      <c r="K866" s="17"/>
      <c r="L866" s="53" t="s">
        <v>1670</v>
      </c>
      <c r="M866" s="39"/>
      <c r="N866" s="39"/>
      <c r="O866" s="39">
        <v>1302</v>
      </c>
      <c r="P866" s="39"/>
      <c r="Q866" s="39"/>
      <c r="R866" s="39"/>
      <c r="S866" s="39"/>
      <c r="T866" s="39"/>
      <c r="U866" s="39"/>
      <c r="V866" s="39"/>
      <c r="W866" s="92" t="s">
        <v>1681</v>
      </c>
    </row>
    <row r="867" spans="1:23" s="79" customFormat="1" ht="25.5" x14ac:dyDescent="0.2">
      <c r="A867" s="1" t="s">
        <v>37</v>
      </c>
      <c r="B867" s="2" t="s">
        <v>38</v>
      </c>
      <c r="C867" s="2" t="s">
        <v>39</v>
      </c>
      <c r="D867" s="2" t="s">
        <v>40</v>
      </c>
      <c r="E867" s="2">
        <v>2023</v>
      </c>
      <c r="F867" s="2" t="s">
        <v>291</v>
      </c>
      <c r="G867" s="2" t="s">
        <v>3095</v>
      </c>
      <c r="H867" s="2" t="s">
        <v>3092</v>
      </c>
      <c r="I867" s="1" t="s">
        <v>14</v>
      </c>
      <c r="J867" s="1" t="s">
        <v>5315</v>
      </c>
      <c r="K867" s="17"/>
      <c r="L867" s="53" t="s">
        <v>1670</v>
      </c>
      <c r="M867" s="3"/>
      <c r="N867" s="39"/>
      <c r="O867" s="39">
        <v>1145</v>
      </c>
      <c r="P867" s="39"/>
      <c r="Q867" s="39"/>
      <c r="R867" s="39"/>
      <c r="S867" s="39"/>
      <c r="T867" s="39"/>
      <c r="U867" s="39"/>
      <c r="V867" s="3"/>
      <c r="W867" s="92" t="s">
        <v>1681</v>
      </c>
    </row>
    <row r="868" spans="1:23" s="79" customFormat="1" ht="25.5" x14ac:dyDescent="0.2">
      <c r="A868" s="1" t="s">
        <v>37</v>
      </c>
      <c r="B868" s="2" t="s">
        <v>38</v>
      </c>
      <c r="C868" s="2" t="s">
        <v>39</v>
      </c>
      <c r="D868" s="2" t="s">
        <v>40</v>
      </c>
      <c r="E868" s="2">
        <v>2023</v>
      </c>
      <c r="F868" s="2" t="s">
        <v>311</v>
      </c>
      <c r="G868" s="2" t="s">
        <v>3095</v>
      </c>
      <c r="H868" s="2" t="s">
        <v>3092</v>
      </c>
      <c r="I868" s="1" t="s">
        <v>14</v>
      </c>
      <c r="J868" s="1" t="s">
        <v>5316</v>
      </c>
      <c r="K868" s="17"/>
      <c r="L868" s="53" t="s">
        <v>1670</v>
      </c>
      <c r="M868" s="39"/>
      <c r="N868" s="39"/>
      <c r="O868" s="39">
        <v>926</v>
      </c>
      <c r="P868" s="39"/>
      <c r="Q868" s="39"/>
      <c r="R868" s="39"/>
      <c r="S868" s="39"/>
      <c r="T868" s="39"/>
      <c r="U868" s="39"/>
      <c r="V868" s="39"/>
      <c r="W868" s="92" t="s">
        <v>1681</v>
      </c>
    </row>
    <row r="869" spans="1:23" s="79" customFormat="1" ht="25.5" x14ac:dyDescent="0.2">
      <c r="A869" s="1" t="s">
        <v>37</v>
      </c>
      <c r="B869" s="2" t="s">
        <v>38</v>
      </c>
      <c r="C869" s="2" t="s">
        <v>39</v>
      </c>
      <c r="D869" s="2" t="s">
        <v>40</v>
      </c>
      <c r="E869" s="2">
        <v>2023</v>
      </c>
      <c r="F869" s="2" t="s">
        <v>337</v>
      </c>
      <c r="G869" s="2" t="s">
        <v>3095</v>
      </c>
      <c r="H869" s="2" t="s">
        <v>3092</v>
      </c>
      <c r="I869" s="1" t="s">
        <v>14</v>
      </c>
      <c r="J869" s="1" t="s">
        <v>5317</v>
      </c>
      <c r="K869" s="17"/>
      <c r="L869" s="53" t="s">
        <v>1670</v>
      </c>
      <c r="M869" s="39"/>
      <c r="N869" s="39"/>
      <c r="O869" s="39">
        <v>902</v>
      </c>
      <c r="P869" s="39"/>
      <c r="Q869" s="39"/>
      <c r="R869" s="39"/>
      <c r="S869" s="39"/>
      <c r="T869" s="39"/>
      <c r="U869" s="39"/>
      <c r="V869" s="39"/>
      <c r="W869" s="92" t="s">
        <v>1681</v>
      </c>
    </row>
    <row r="870" spans="1:23" s="79" customFormat="1" ht="25.5" x14ac:dyDescent="0.2">
      <c r="A870" s="1" t="s">
        <v>37</v>
      </c>
      <c r="B870" s="2" t="s">
        <v>38</v>
      </c>
      <c r="C870" s="2" t="s">
        <v>39</v>
      </c>
      <c r="D870" s="2" t="s">
        <v>40</v>
      </c>
      <c r="E870" s="2">
        <v>2023</v>
      </c>
      <c r="F870" s="2" t="s">
        <v>364</v>
      </c>
      <c r="G870" s="2" t="s">
        <v>3095</v>
      </c>
      <c r="H870" s="2" t="s">
        <v>3092</v>
      </c>
      <c r="I870" s="1" t="s">
        <v>14</v>
      </c>
      <c r="J870" s="1" t="s">
        <v>5318</v>
      </c>
      <c r="K870" s="17"/>
      <c r="L870" s="53">
        <v>0.20960000000000001</v>
      </c>
      <c r="M870" s="39"/>
      <c r="N870" s="39"/>
      <c r="O870" s="39">
        <v>922</v>
      </c>
      <c r="P870" s="39"/>
      <c r="Q870" s="39"/>
      <c r="R870" s="39"/>
      <c r="S870" s="39"/>
      <c r="T870" s="39"/>
      <c r="U870" s="39"/>
      <c r="V870" s="39"/>
      <c r="W870" s="92" t="s">
        <v>1681</v>
      </c>
    </row>
    <row r="871" spans="1:23" s="79" customFormat="1" ht="25.5" x14ac:dyDescent="0.2">
      <c r="A871" s="1" t="s">
        <v>37</v>
      </c>
      <c r="B871" s="2" t="s">
        <v>38</v>
      </c>
      <c r="C871" s="2" t="s">
        <v>39</v>
      </c>
      <c r="D871" s="2" t="s">
        <v>40</v>
      </c>
      <c r="E871" s="2">
        <v>2023</v>
      </c>
      <c r="F871" s="2" t="s">
        <v>388</v>
      </c>
      <c r="G871" s="2" t="s">
        <v>3095</v>
      </c>
      <c r="H871" s="2" t="s">
        <v>3092</v>
      </c>
      <c r="I871" s="1" t="s">
        <v>14</v>
      </c>
      <c r="J871" s="1" t="s">
        <v>5319</v>
      </c>
      <c r="K871" s="17"/>
      <c r="L871" s="53" t="s">
        <v>1670</v>
      </c>
      <c r="M871" s="39"/>
      <c r="N871" s="39"/>
      <c r="O871" s="39">
        <v>866</v>
      </c>
      <c r="P871" s="39"/>
      <c r="Q871" s="39"/>
      <c r="R871" s="39"/>
      <c r="S871" s="39"/>
      <c r="T871" s="39"/>
      <c r="U871" s="39"/>
      <c r="V871" s="39"/>
      <c r="W871" s="92" t="s">
        <v>1681</v>
      </c>
    </row>
    <row r="872" spans="1:23" s="79" customFormat="1" ht="102" x14ac:dyDescent="0.2">
      <c r="A872" s="1" t="s">
        <v>4137</v>
      </c>
      <c r="B872" s="2" t="s">
        <v>196</v>
      </c>
      <c r="C872" s="2" t="s">
        <v>4138</v>
      </c>
      <c r="D872" s="2" t="s">
        <v>1077</v>
      </c>
      <c r="E872" s="2">
        <v>2023</v>
      </c>
      <c r="F872" s="2" t="s">
        <v>221</v>
      </c>
      <c r="G872" s="2" t="s">
        <v>3092</v>
      </c>
      <c r="H872" s="2" t="s">
        <v>3093</v>
      </c>
      <c r="I872" s="1" t="s">
        <v>5320</v>
      </c>
      <c r="J872" s="1" t="s">
        <v>5321</v>
      </c>
      <c r="K872" s="17"/>
      <c r="L872" s="54"/>
      <c r="M872" s="39"/>
      <c r="N872" s="39"/>
      <c r="O872" s="39"/>
      <c r="P872" s="39"/>
      <c r="Q872" s="39"/>
      <c r="R872" s="39"/>
      <c r="S872" s="39"/>
      <c r="T872" s="39"/>
      <c r="U872" s="39"/>
      <c r="V872" s="39"/>
      <c r="W872" s="92" t="s">
        <v>1693</v>
      </c>
    </row>
    <row r="873" spans="1:23" s="79" customFormat="1" ht="25.5" x14ac:dyDescent="0.2">
      <c r="A873" s="1" t="s">
        <v>153</v>
      </c>
      <c r="B873" s="2" t="s">
        <v>24</v>
      </c>
      <c r="C873" s="2" t="s">
        <v>154</v>
      </c>
      <c r="D873" s="2" t="s">
        <v>155</v>
      </c>
      <c r="E873" s="2">
        <v>2023</v>
      </c>
      <c r="F873" s="2" t="s">
        <v>13</v>
      </c>
      <c r="G873" s="2" t="s">
        <v>3095</v>
      </c>
      <c r="H873" s="2" t="s">
        <v>3092</v>
      </c>
      <c r="I873" s="1" t="s">
        <v>14</v>
      </c>
      <c r="J873" s="1" t="s">
        <v>5322</v>
      </c>
      <c r="K873" s="17"/>
      <c r="L873" s="54">
        <v>0.36599999999999999</v>
      </c>
      <c r="M873" s="39"/>
      <c r="N873" s="39"/>
      <c r="O873" s="39">
        <v>1331</v>
      </c>
      <c r="P873" s="39"/>
      <c r="Q873" s="39"/>
      <c r="R873" s="39"/>
      <c r="S873" s="39"/>
      <c r="T873" s="39"/>
      <c r="U873" s="39"/>
      <c r="V873" s="39"/>
      <c r="W873" s="92" t="s">
        <v>1681</v>
      </c>
    </row>
    <row r="874" spans="1:23" s="79" customFormat="1" ht="25.5" x14ac:dyDescent="0.2">
      <c r="A874" s="1" t="s">
        <v>153</v>
      </c>
      <c r="B874" s="2" t="s">
        <v>24</v>
      </c>
      <c r="C874" s="2" t="s">
        <v>154</v>
      </c>
      <c r="D874" s="2" t="s">
        <v>155</v>
      </c>
      <c r="E874" s="2">
        <v>2023</v>
      </c>
      <c r="F874" s="2" t="s">
        <v>188</v>
      </c>
      <c r="G874" s="2" t="s">
        <v>3095</v>
      </c>
      <c r="H874" s="2" t="s">
        <v>3092</v>
      </c>
      <c r="I874" s="1" t="s">
        <v>14</v>
      </c>
      <c r="J874" s="1" t="s">
        <v>5323</v>
      </c>
      <c r="K874" s="17"/>
      <c r="L874" s="54">
        <v>0.38300000000000001</v>
      </c>
      <c r="M874" s="39"/>
      <c r="N874" s="39"/>
      <c r="O874" s="39">
        <v>1359.8</v>
      </c>
      <c r="P874" s="39"/>
      <c r="Q874" s="39"/>
      <c r="R874" s="39"/>
      <c r="S874" s="39"/>
      <c r="T874" s="39"/>
      <c r="U874" s="39"/>
      <c r="V874" s="39"/>
      <c r="W874" s="92" t="s">
        <v>1681</v>
      </c>
    </row>
    <row r="875" spans="1:23" s="79" customFormat="1" ht="25.5" x14ac:dyDescent="0.2">
      <c r="A875" s="1" t="s">
        <v>153</v>
      </c>
      <c r="B875" s="2" t="s">
        <v>24</v>
      </c>
      <c r="C875" s="2" t="s">
        <v>154</v>
      </c>
      <c r="D875" s="2" t="s">
        <v>155</v>
      </c>
      <c r="E875" s="2">
        <v>2023</v>
      </c>
      <c r="F875" s="2" t="s">
        <v>203</v>
      </c>
      <c r="G875" s="2" t="s">
        <v>3095</v>
      </c>
      <c r="H875" s="2" t="s">
        <v>3092</v>
      </c>
      <c r="I875" s="1" t="s">
        <v>14</v>
      </c>
      <c r="J875" s="1" t="s">
        <v>5324</v>
      </c>
      <c r="K875" s="17"/>
      <c r="L875" s="54">
        <v>0.39340000000000003</v>
      </c>
      <c r="M875" s="39"/>
      <c r="N875" s="39"/>
      <c r="O875" s="39">
        <v>1395.8</v>
      </c>
      <c r="P875" s="39"/>
      <c r="Q875" s="39"/>
      <c r="R875" s="39"/>
      <c r="S875" s="39"/>
      <c r="T875" s="39"/>
      <c r="U875" s="39"/>
      <c r="V875" s="39"/>
      <c r="W875" s="92" t="s">
        <v>1681</v>
      </c>
    </row>
    <row r="876" spans="1:23" s="79" customFormat="1" ht="25.5" x14ac:dyDescent="0.2">
      <c r="A876" s="1" t="s">
        <v>153</v>
      </c>
      <c r="B876" s="2" t="s">
        <v>24</v>
      </c>
      <c r="C876" s="2" t="s">
        <v>154</v>
      </c>
      <c r="D876" s="2" t="s">
        <v>155</v>
      </c>
      <c r="E876" s="2">
        <v>2023</v>
      </c>
      <c r="F876" s="2" t="s">
        <v>211</v>
      </c>
      <c r="G876" s="2" t="s">
        <v>3095</v>
      </c>
      <c r="H876" s="2" t="s">
        <v>3092</v>
      </c>
      <c r="I876" s="1" t="s">
        <v>14</v>
      </c>
      <c r="J876" s="1" t="s">
        <v>5325</v>
      </c>
      <c r="K876" s="17"/>
      <c r="L876" s="54">
        <v>0.42799999999999999</v>
      </c>
      <c r="M876" s="39"/>
      <c r="N876" s="39"/>
      <c r="O876" s="39">
        <v>1241.8</v>
      </c>
      <c r="P876" s="39"/>
      <c r="Q876" s="39"/>
      <c r="R876" s="39"/>
      <c r="S876" s="39"/>
      <c r="T876" s="39"/>
      <c r="U876" s="39"/>
      <c r="V876" s="39"/>
      <c r="W876" s="92" t="s">
        <v>1681</v>
      </c>
    </row>
    <row r="877" spans="1:23" s="79" customFormat="1" ht="25.5" x14ac:dyDescent="0.2">
      <c r="A877" s="1" t="s">
        <v>153</v>
      </c>
      <c r="B877" s="2" t="s">
        <v>24</v>
      </c>
      <c r="C877" s="2" t="s">
        <v>154</v>
      </c>
      <c r="D877" s="2" t="s">
        <v>155</v>
      </c>
      <c r="E877" s="2">
        <v>2023</v>
      </c>
      <c r="F877" s="2" t="s">
        <v>221</v>
      </c>
      <c r="G877" s="2" t="s">
        <v>3095</v>
      </c>
      <c r="H877" s="2" t="s">
        <v>3092</v>
      </c>
      <c r="I877" s="1" t="s">
        <v>14</v>
      </c>
      <c r="J877" s="1" t="s">
        <v>5326</v>
      </c>
      <c r="K877" s="17"/>
      <c r="L877" s="54">
        <v>0.42959999999999998</v>
      </c>
      <c r="M877" s="39"/>
      <c r="N877" s="39"/>
      <c r="O877" s="39">
        <v>1338.7</v>
      </c>
      <c r="P877" s="39"/>
      <c r="Q877" s="39"/>
      <c r="R877" s="39"/>
      <c r="S877" s="39"/>
      <c r="T877" s="39"/>
      <c r="U877" s="39"/>
      <c r="V877" s="39"/>
      <c r="W877" s="92" t="s">
        <v>1681</v>
      </c>
    </row>
    <row r="878" spans="1:23" s="79" customFormat="1" ht="25.5" x14ac:dyDescent="0.2">
      <c r="A878" s="1" t="s">
        <v>153</v>
      </c>
      <c r="B878" s="2" t="s">
        <v>24</v>
      </c>
      <c r="C878" s="2" t="s">
        <v>154</v>
      </c>
      <c r="D878" s="2" t="s">
        <v>155</v>
      </c>
      <c r="E878" s="2">
        <v>2023</v>
      </c>
      <c r="F878" s="2" t="s">
        <v>256</v>
      </c>
      <c r="G878" s="2" t="s">
        <v>3095</v>
      </c>
      <c r="H878" s="2" t="s">
        <v>3092</v>
      </c>
      <c r="I878" s="1" t="s">
        <v>14</v>
      </c>
      <c r="J878" s="1" t="s">
        <v>5327</v>
      </c>
      <c r="K878" s="17"/>
      <c r="L878" s="54">
        <v>0.41099999999999998</v>
      </c>
      <c r="M878" s="39"/>
      <c r="N878" s="39"/>
      <c r="O878" s="39">
        <v>1436.9</v>
      </c>
      <c r="P878" s="39"/>
      <c r="Q878" s="39"/>
      <c r="R878" s="39"/>
      <c r="S878" s="39"/>
      <c r="T878" s="39"/>
      <c r="U878" s="39"/>
      <c r="V878" s="39"/>
      <c r="W878" s="92" t="s">
        <v>1681</v>
      </c>
    </row>
    <row r="879" spans="1:23" s="79" customFormat="1" ht="25.5" x14ac:dyDescent="0.2">
      <c r="A879" s="1" t="s">
        <v>153</v>
      </c>
      <c r="B879" s="2" t="s">
        <v>24</v>
      </c>
      <c r="C879" s="2" t="s">
        <v>154</v>
      </c>
      <c r="D879" s="2" t="s">
        <v>155</v>
      </c>
      <c r="E879" s="2">
        <v>2023</v>
      </c>
      <c r="F879" s="2" t="s">
        <v>276</v>
      </c>
      <c r="G879" s="2" t="s">
        <v>3095</v>
      </c>
      <c r="H879" s="2" t="s">
        <v>3092</v>
      </c>
      <c r="I879" s="1" t="s">
        <v>14</v>
      </c>
      <c r="J879" s="1" t="s">
        <v>5328</v>
      </c>
      <c r="K879" s="17"/>
      <c r="L879" s="80">
        <v>0.42599999999999999</v>
      </c>
      <c r="M879" s="15"/>
      <c r="N879" s="15"/>
      <c r="O879" s="15">
        <v>1399.9</v>
      </c>
      <c r="P879" s="15"/>
      <c r="Q879" s="15"/>
      <c r="R879" s="15"/>
      <c r="S879" s="15"/>
      <c r="T879" s="15"/>
      <c r="U879" s="15"/>
      <c r="V879" s="15"/>
      <c r="W879" s="92" t="s">
        <v>1681</v>
      </c>
    </row>
    <row r="880" spans="1:23" s="79" customFormat="1" ht="25.5" x14ac:dyDescent="0.2">
      <c r="A880" s="1" t="s">
        <v>153</v>
      </c>
      <c r="B880" s="2" t="s">
        <v>24</v>
      </c>
      <c r="C880" s="2" t="s">
        <v>154</v>
      </c>
      <c r="D880" s="2" t="s">
        <v>155</v>
      </c>
      <c r="E880" s="2">
        <v>2023</v>
      </c>
      <c r="F880" s="2" t="s">
        <v>291</v>
      </c>
      <c r="G880" s="2" t="s">
        <v>3095</v>
      </c>
      <c r="H880" s="2" t="s">
        <v>3092</v>
      </c>
      <c r="I880" s="1" t="s">
        <v>14</v>
      </c>
      <c r="J880" s="1" t="s">
        <v>5329</v>
      </c>
      <c r="K880" s="17"/>
      <c r="L880" s="54">
        <v>0.38900000000000001</v>
      </c>
      <c r="M880" s="39"/>
      <c r="N880" s="39"/>
      <c r="O880" s="39">
        <v>1236.5999999999999</v>
      </c>
      <c r="P880" s="39"/>
      <c r="Q880" s="39"/>
      <c r="R880" s="39"/>
      <c r="S880" s="39"/>
      <c r="T880" s="39"/>
      <c r="U880" s="39"/>
      <c r="V880" s="39"/>
      <c r="W880" s="92" t="s">
        <v>1681</v>
      </c>
    </row>
    <row r="881" spans="1:24" s="79" customFormat="1" ht="25.5" x14ac:dyDescent="0.2">
      <c r="A881" s="1" t="s">
        <v>153</v>
      </c>
      <c r="B881" s="2" t="s">
        <v>24</v>
      </c>
      <c r="C881" s="2" t="s">
        <v>154</v>
      </c>
      <c r="D881" s="2" t="s">
        <v>155</v>
      </c>
      <c r="E881" s="2">
        <v>2023</v>
      </c>
      <c r="F881" s="2" t="s">
        <v>311</v>
      </c>
      <c r="G881" s="2" t="s">
        <v>3095</v>
      </c>
      <c r="H881" s="2" t="s">
        <v>3092</v>
      </c>
      <c r="I881" s="1" t="s">
        <v>14</v>
      </c>
      <c r="J881" s="1" t="s">
        <v>5330</v>
      </c>
      <c r="K881" s="17"/>
      <c r="L881" s="54">
        <v>0.38300000000000001</v>
      </c>
      <c r="M881" s="39"/>
      <c r="N881" s="39"/>
      <c r="O881" s="39">
        <v>1396.7</v>
      </c>
      <c r="P881" s="39"/>
      <c r="Q881" s="39"/>
      <c r="R881" s="39"/>
      <c r="S881" s="39"/>
      <c r="T881" s="39"/>
      <c r="U881" s="39"/>
      <c r="V881" s="39"/>
      <c r="W881" s="92" t="s">
        <v>1681</v>
      </c>
    </row>
    <row r="882" spans="1:24" s="79" customFormat="1" ht="25.5" x14ac:dyDescent="0.2">
      <c r="A882" s="1" t="s">
        <v>153</v>
      </c>
      <c r="B882" s="2" t="s">
        <v>24</v>
      </c>
      <c r="C882" s="2" t="s">
        <v>154</v>
      </c>
      <c r="D882" s="2" t="s">
        <v>155</v>
      </c>
      <c r="E882" s="2">
        <v>2023</v>
      </c>
      <c r="F882" s="2" t="s">
        <v>337</v>
      </c>
      <c r="G882" s="2" t="s">
        <v>3095</v>
      </c>
      <c r="H882" s="2" t="s">
        <v>3092</v>
      </c>
      <c r="I882" s="1" t="s">
        <v>14</v>
      </c>
      <c r="J882" s="1" t="s">
        <v>5331</v>
      </c>
      <c r="K882" s="17"/>
      <c r="L882" s="54">
        <v>0.36199999999999999</v>
      </c>
      <c r="M882" s="39"/>
      <c r="N882" s="39"/>
      <c r="O882" s="39">
        <v>1402.2</v>
      </c>
      <c r="P882" s="39"/>
      <c r="Q882" s="39"/>
      <c r="R882" s="39"/>
      <c r="S882" s="39"/>
      <c r="T882" s="39"/>
      <c r="U882" s="39"/>
      <c r="V882" s="39"/>
      <c r="W882" s="92" t="s">
        <v>1681</v>
      </c>
    </row>
    <row r="883" spans="1:24" s="79" customFormat="1" ht="25.5" x14ac:dyDescent="0.2">
      <c r="A883" s="1" t="s">
        <v>153</v>
      </c>
      <c r="B883" s="2" t="s">
        <v>24</v>
      </c>
      <c r="C883" s="2" t="s">
        <v>154</v>
      </c>
      <c r="D883" s="2" t="s">
        <v>155</v>
      </c>
      <c r="E883" s="2">
        <v>2023</v>
      </c>
      <c r="F883" s="2" t="s">
        <v>364</v>
      </c>
      <c r="G883" s="2" t="s">
        <v>3095</v>
      </c>
      <c r="H883" s="2" t="s">
        <v>3092</v>
      </c>
      <c r="I883" s="1" t="s">
        <v>14</v>
      </c>
      <c r="J883" s="1" t="s">
        <v>5332</v>
      </c>
      <c r="K883" s="17"/>
      <c r="L883" s="54">
        <v>0.36699999999999999</v>
      </c>
      <c r="M883" s="39"/>
      <c r="N883" s="39"/>
      <c r="O883" s="39">
        <v>1553.8</v>
      </c>
      <c r="P883" s="39"/>
      <c r="Q883" s="39"/>
      <c r="R883" s="39"/>
      <c r="S883" s="39"/>
      <c r="T883" s="39"/>
      <c r="U883" s="39"/>
      <c r="V883" s="39"/>
      <c r="W883" s="92" t="s">
        <v>1681</v>
      </c>
    </row>
    <row r="884" spans="1:24" s="79" customFormat="1" ht="25.5" x14ac:dyDescent="0.2">
      <c r="A884" s="1" t="s">
        <v>153</v>
      </c>
      <c r="B884" s="2" t="s">
        <v>24</v>
      </c>
      <c r="C884" s="2" t="s">
        <v>154</v>
      </c>
      <c r="D884" s="2" t="s">
        <v>155</v>
      </c>
      <c r="E884" s="2">
        <v>2023</v>
      </c>
      <c r="F884" s="2" t="s">
        <v>388</v>
      </c>
      <c r="G884" s="2" t="s">
        <v>3095</v>
      </c>
      <c r="H884" s="2" t="s">
        <v>3092</v>
      </c>
      <c r="I884" s="1" t="s">
        <v>14</v>
      </c>
      <c r="J884" s="1" t="s">
        <v>5333</v>
      </c>
      <c r="K884" s="17"/>
      <c r="L884" s="53">
        <v>0.38300000000000001</v>
      </c>
      <c r="M884" s="39"/>
      <c r="N884" s="39"/>
      <c r="O884" s="39">
        <v>1296.5</v>
      </c>
      <c r="P884" s="39"/>
      <c r="Q884" s="39"/>
      <c r="R884" s="39"/>
      <c r="S884" s="39"/>
      <c r="T884" s="39"/>
      <c r="U884" s="39"/>
      <c r="V884" s="39"/>
      <c r="W884" s="92" t="s">
        <v>1681</v>
      </c>
      <c r="X884"/>
    </row>
    <row r="885" spans="1:24" s="79" customFormat="1" ht="25.5" x14ac:dyDescent="0.2">
      <c r="A885" s="1" t="s">
        <v>159</v>
      </c>
      <c r="B885" s="2" t="s">
        <v>38</v>
      </c>
      <c r="C885" s="2" t="s">
        <v>154</v>
      </c>
      <c r="D885" s="2" t="s">
        <v>155</v>
      </c>
      <c r="E885" s="2">
        <v>2023</v>
      </c>
      <c r="F885" s="2" t="s">
        <v>13</v>
      </c>
      <c r="G885" s="2" t="s">
        <v>3095</v>
      </c>
      <c r="H885" s="2" t="s">
        <v>3092</v>
      </c>
      <c r="I885" s="1" t="s">
        <v>14</v>
      </c>
      <c r="J885" s="1" t="s">
        <v>5334</v>
      </c>
      <c r="K885" s="17"/>
      <c r="L885" s="80"/>
      <c r="M885" s="15"/>
      <c r="N885" s="15"/>
      <c r="O885" s="15"/>
      <c r="P885" s="15"/>
      <c r="Q885" s="15"/>
      <c r="R885" s="15"/>
      <c r="S885" s="15"/>
      <c r="T885" s="15"/>
      <c r="U885" s="15"/>
      <c r="V885" s="15"/>
      <c r="W885" s="92" t="s">
        <v>5335</v>
      </c>
    </row>
    <row r="886" spans="1:24" s="79" customFormat="1" ht="25.5" x14ac:dyDescent="0.2">
      <c r="A886" s="1" t="s">
        <v>159</v>
      </c>
      <c r="B886" s="2" t="s">
        <v>38</v>
      </c>
      <c r="C886" s="2" t="s">
        <v>154</v>
      </c>
      <c r="D886" s="2" t="s">
        <v>155</v>
      </c>
      <c r="E886" s="2">
        <v>2023</v>
      </c>
      <c r="F886" s="2" t="s">
        <v>188</v>
      </c>
      <c r="G886" s="2" t="s">
        <v>3095</v>
      </c>
      <c r="H886" s="2" t="s">
        <v>3092</v>
      </c>
      <c r="I886" s="1" t="s">
        <v>14</v>
      </c>
      <c r="J886" s="1" t="s">
        <v>5336</v>
      </c>
      <c r="K886" s="17"/>
      <c r="L886" s="54"/>
      <c r="M886" s="39"/>
      <c r="N886" s="39"/>
      <c r="O886" s="39"/>
      <c r="P886" s="39"/>
      <c r="Q886" s="39"/>
      <c r="R886" s="39"/>
      <c r="S886" s="39"/>
      <c r="T886" s="39"/>
      <c r="U886" s="39"/>
      <c r="V886" s="39"/>
      <c r="W886" s="92" t="s">
        <v>5335</v>
      </c>
    </row>
    <row r="887" spans="1:24" s="79" customFormat="1" ht="25.5" x14ac:dyDescent="0.2">
      <c r="A887" s="1" t="s">
        <v>159</v>
      </c>
      <c r="B887" s="2" t="s">
        <v>38</v>
      </c>
      <c r="C887" s="2" t="s">
        <v>154</v>
      </c>
      <c r="D887" s="2" t="s">
        <v>155</v>
      </c>
      <c r="E887" s="2">
        <v>2023</v>
      </c>
      <c r="F887" s="2" t="s">
        <v>203</v>
      </c>
      <c r="G887" s="2" t="s">
        <v>3095</v>
      </c>
      <c r="H887" s="2" t="s">
        <v>3092</v>
      </c>
      <c r="I887" s="1" t="s">
        <v>14</v>
      </c>
      <c r="J887" s="1" t="s">
        <v>5337</v>
      </c>
      <c r="K887" s="17"/>
      <c r="L887" s="54"/>
      <c r="M887" s="39"/>
      <c r="N887" s="39"/>
      <c r="O887" s="39"/>
      <c r="P887" s="39"/>
      <c r="Q887" s="39"/>
      <c r="R887" s="39"/>
      <c r="S887" s="39"/>
      <c r="T887" s="39"/>
      <c r="U887" s="39"/>
      <c r="V887" s="39"/>
      <c r="W887" s="92" t="s">
        <v>5335</v>
      </c>
    </row>
    <row r="888" spans="1:24" s="79" customFormat="1" ht="25.5" x14ac:dyDescent="0.2">
      <c r="A888" s="1" t="s">
        <v>159</v>
      </c>
      <c r="B888" s="2" t="s">
        <v>38</v>
      </c>
      <c r="C888" s="2" t="s">
        <v>154</v>
      </c>
      <c r="D888" s="2" t="s">
        <v>155</v>
      </c>
      <c r="E888" s="2">
        <v>2023</v>
      </c>
      <c r="F888" s="2" t="s">
        <v>211</v>
      </c>
      <c r="G888" s="2" t="s">
        <v>3095</v>
      </c>
      <c r="H888" s="2" t="s">
        <v>3092</v>
      </c>
      <c r="I888" s="1" t="s">
        <v>14</v>
      </c>
      <c r="J888" s="1" t="s">
        <v>5338</v>
      </c>
      <c r="K888" s="17"/>
      <c r="L888" s="54"/>
      <c r="M888" s="39"/>
      <c r="N888" s="39"/>
      <c r="O888" s="39"/>
      <c r="P888" s="39"/>
      <c r="Q888" s="39"/>
      <c r="R888" s="39"/>
      <c r="S888" s="39"/>
      <c r="T888" s="39"/>
      <c r="U888" s="39"/>
      <c r="V888" s="39"/>
      <c r="W888" s="92" t="s">
        <v>5335</v>
      </c>
    </row>
    <row r="889" spans="1:24" s="79" customFormat="1" ht="25.5" x14ac:dyDescent="0.2">
      <c r="A889" s="1" t="s">
        <v>159</v>
      </c>
      <c r="B889" s="2" t="s">
        <v>38</v>
      </c>
      <c r="C889" s="2" t="s">
        <v>154</v>
      </c>
      <c r="D889" s="2" t="s">
        <v>155</v>
      </c>
      <c r="E889" s="2">
        <v>2023</v>
      </c>
      <c r="F889" s="2" t="s">
        <v>221</v>
      </c>
      <c r="G889" s="2" t="s">
        <v>3095</v>
      </c>
      <c r="H889" s="2" t="s">
        <v>3092</v>
      </c>
      <c r="I889" s="1" t="s">
        <v>14</v>
      </c>
      <c r="J889" s="1" t="s">
        <v>5339</v>
      </c>
      <c r="K889" s="17"/>
      <c r="L889" s="54"/>
      <c r="M889" s="39"/>
      <c r="N889" s="39"/>
      <c r="O889" s="39"/>
      <c r="P889" s="39"/>
      <c r="Q889" s="39"/>
      <c r="R889" s="39"/>
      <c r="S889" s="39"/>
      <c r="T889" s="39"/>
      <c r="U889" s="39"/>
      <c r="V889" s="39"/>
      <c r="W889" s="92" t="s">
        <v>5335</v>
      </c>
    </row>
    <row r="890" spans="1:24" s="79" customFormat="1" ht="25.5" x14ac:dyDescent="0.2">
      <c r="A890" s="1" t="s">
        <v>159</v>
      </c>
      <c r="B890" s="2" t="s">
        <v>38</v>
      </c>
      <c r="C890" s="2" t="s">
        <v>154</v>
      </c>
      <c r="D890" s="2" t="s">
        <v>155</v>
      </c>
      <c r="E890" s="2">
        <v>2023</v>
      </c>
      <c r="F890" s="2" t="s">
        <v>256</v>
      </c>
      <c r="G890" s="2" t="s">
        <v>3095</v>
      </c>
      <c r="H890" s="2" t="s">
        <v>3092</v>
      </c>
      <c r="I890" s="1" t="s">
        <v>14</v>
      </c>
      <c r="J890" s="1" t="s">
        <v>5340</v>
      </c>
      <c r="K890" s="17"/>
      <c r="L890" s="54"/>
      <c r="M890" s="39"/>
      <c r="N890" s="39"/>
      <c r="O890" s="39"/>
      <c r="P890" s="39"/>
      <c r="Q890" s="39"/>
      <c r="R890" s="39"/>
      <c r="S890" s="39"/>
      <c r="T890" s="39"/>
      <c r="U890" s="39"/>
      <c r="V890" s="39"/>
      <c r="W890" s="92" t="s">
        <v>5335</v>
      </c>
    </row>
    <row r="891" spans="1:24" s="79" customFormat="1" ht="25.5" x14ac:dyDescent="0.2">
      <c r="A891" s="1" t="s">
        <v>159</v>
      </c>
      <c r="B891" s="2" t="s">
        <v>38</v>
      </c>
      <c r="C891" s="2" t="s">
        <v>154</v>
      </c>
      <c r="D891" s="2" t="s">
        <v>155</v>
      </c>
      <c r="E891" s="2">
        <v>2023</v>
      </c>
      <c r="F891" s="2" t="s">
        <v>276</v>
      </c>
      <c r="G891" s="2" t="s">
        <v>3095</v>
      </c>
      <c r="H891" s="2" t="s">
        <v>3092</v>
      </c>
      <c r="I891" s="1" t="s">
        <v>14</v>
      </c>
      <c r="J891" s="1" t="s">
        <v>5341</v>
      </c>
      <c r="K891" s="17"/>
      <c r="L891" s="54"/>
      <c r="M891" s="39"/>
      <c r="N891" s="39"/>
      <c r="O891" s="39"/>
      <c r="P891" s="39"/>
      <c r="Q891" s="39"/>
      <c r="R891" s="39"/>
      <c r="S891" s="39"/>
      <c r="T891" s="39"/>
      <c r="U891" s="39"/>
      <c r="V891" s="39"/>
      <c r="W891" s="92" t="s">
        <v>5335</v>
      </c>
    </row>
    <row r="892" spans="1:24" s="79" customFormat="1" ht="25.5" x14ac:dyDescent="0.2">
      <c r="A892" s="1" t="s">
        <v>159</v>
      </c>
      <c r="B892" s="2" t="s">
        <v>38</v>
      </c>
      <c r="C892" s="2" t="s">
        <v>154</v>
      </c>
      <c r="D892" s="2" t="s">
        <v>155</v>
      </c>
      <c r="E892" s="2">
        <v>2023</v>
      </c>
      <c r="F892" s="2" t="s">
        <v>291</v>
      </c>
      <c r="G892" s="2" t="s">
        <v>3095</v>
      </c>
      <c r="H892" s="2" t="s">
        <v>3092</v>
      </c>
      <c r="I892" s="1" t="s">
        <v>14</v>
      </c>
      <c r="J892" s="1" t="s">
        <v>5342</v>
      </c>
      <c r="K892" s="17"/>
      <c r="L892" s="54"/>
      <c r="M892" s="39"/>
      <c r="N892" s="39"/>
      <c r="O892" s="39"/>
      <c r="P892" s="39"/>
      <c r="Q892" s="39"/>
      <c r="R892" s="39"/>
      <c r="S892" s="39"/>
      <c r="T892" s="39"/>
      <c r="U892" s="39"/>
      <c r="V892" s="39"/>
      <c r="W892" s="92" t="s">
        <v>5335</v>
      </c>
    </row>
    <row r="893" spans="1:24" s="79" customFormat="1" ht="25.5" x14ac:dyDescent="0.2">
      <c r="A893" s="1" t="s">
        <v>159</v>
      </c>
      <c r="B893" s="2" t="s">
        <v>38</v>
      </c>
      <c r="C893" s="2" t="s">
        <v>154</v>
      </c>
      <c r="D893" s="2" t="s">
        <v>155</v>
      </c>
      <c r="E893" s="2">
        <v>2023</v>
      </c>
      <c r="F893" s="2" t="s">
        <v>311</v>
      </c>
      <c r="G893" s="2" t="s">
        <v>3095</v>
      </c>
      <c r="H893" s="2" t="s">
        <v>3092</v>
      </c>
      <c r="I893" s="1" t="s">
        <v>14</v>
      </c>
      <c r="J893" s="1" t="s">
        <v>5343</v>
      </c>
      <c r="K893" s="17"/>
      <c r="L893" s="54"/>
      <c r="M893" s="39"/>
      <c r="N893" s="39"/>
      <c r="O893" s="39"/>
      <c r="P893" s="39"/>
      <c r="Q893" s="39"/>
      <c r="R893" s="39"/>
      <c r="S893" s="39"/>
      <c r="T893" s="39"/>
      <c r="U893" s="39"/>
      <c r="V893" s="39"/>
      <c r="W893" s="92" t="s">
        <v>5335</v>
      </c>
    </row>
    <row r="894" spans="1:24" s="79" customFormat="1" ht="25.5" x14ac:dyDescent="0.2">
      <c r="A894" s="1" t="s">
        <v>159</v>
      </c>
      <c r="B894" s="2" t="s">
        <v>38</v>
      </c>
      <c r="C894" s="2" t="s">
        <v>154</v>
      </c>
      <c r="D894" s="2" t="s">
        <v>155</v>
      </c>
      <c r="E894" s="2">
        <v>2023</v>
      </c>
      <c r="F894" s="2" t="s">
        <v>337</v>
      </c>
      <c r="G894" s="2" t="s">
        <v>3095</v>
      </c>
      <c r="H894" s="2" t="s">
        <v>3092</v>
      </c>
      <c r="I894" s="1" t="s">
        <v>14</v>
      </c>
      <c r="J894" s="1" t="s">
        <v>5344</v>
      </c>
      <c r="K894" s="17"/>
      <c r="L894" s="54"/>
      <c r="M894" s="39"/>
      <c r="N894" s="39"/>
      <c r="O894" s="39"/>
      <c r="P894" s="39"/>
      <c r="Q894" s="39"/>
      <c r="R894" s="39"/>
      <c r="S894" s="39"/>
      <c r="T894" s="39"/>
      <c r="U894" s="39"/>
      <c r="V894" s="39"/>
      <c r="W894" s="92" t="s">
        <v>5335</v>
      </c>
    </row>
    <row r="895" spans="1:24" s="79" customFormat="1" ht="25.5" x14ac:dyDescent="0.2">
      <c r="A895" s="1" t="s">
        <v>159</v>
      </c>
      <c r="B895" s="2" t="s">
        <v>38</v>
      </c>
      <c r="C895" s="2" t="s">
        <v>154</v>
      </c>
      <c r="D895" s="2" t="s">
        <v>155</v>
      </c>
      <c r="E895" s="2">
        <v>2023</v>
      </c>
      <c r="F895" s="2" t="s">
        <v>364</v>
      </c>
      <c r="G895" s="2" t="s">
        <v>3095</v>
      </c>
      <c r="H895" s="2" t="s">
        <v>3092</v>
      </c>
      <c r="I895" s="1" t="s">
        <v>14</v>
      </c>
      <c r="J895" s="1" t="s">
        <v>5345</v>
      </c>
      <c r="K895" s="17"/>
      <c r="L895" s="54"/>
      <c r="M895" s="39"/>
      <c r="N895" s="39"/>
      <c r="O895" s="39"/>
      <c r="P895" s="39"/>
      <c r="Q895" s="39"/>
      <c r="R895" s="39"/>
      <c r="S895" s="39"/>
      <c r="T895" s="39"/>
      <c r="U895" s="39"/>
      <c r="V895" s="39"/>
      <c r="W895" s="92" t="s">
        <v>5335</v>
      </c>
    </row>
    <row r="896" spans="1:24" s="79" customFormat="1" ht="25.5" x14ac:dyDescent="0.2">
      <c r="A896" s="1" t="s">
        <v>159</v>
      </c>
      <c r="B896" s="2" t="s">
        <v>38</v>
      </c>
      <c r="C896" s="2" t="s">
        <v>154</v>
      </c>
      <c r="D896" s="2" t="s">
        <v>155</v>
      </c>
      <c r="E896" s="2">
        <v>2023</v>
      </c>
      <c r="F896" s="2" t="s">
        <v>388</v>
      </c>
      <c r="G896" s="2" t="s">
        <v>3095</v>
      </c>
      <c r="H896" s="2" t="s">
        <v>3092</v>
      </c>
      <c r="I896" s="1" t="s">
        <v>14</v>
      </c>
      <c r="J896" s="1" t="s">
        <v>5346</v>
      </c>
      <c r="K896" s="17"/>
      <c r="L896" s="84"/>
      <c r="M896" s="85"/>
      <c r="N896" s="85"/>
      <c r="O896" s="85"/>
      <c r="P896" s="85"/>
      <c r="Q896" s="85"/>
      <c r="R896" s="85"/>
      <c r="S896" s="85"/>
      <c r="T896" s="85"/>
      <c r="U896" s="85"/>
      <c r="V896" s="85"/>
      <c r="W896" s="92" t="s">
        <v>5335</v>
      </c>
      <c r="X896"/>
    </row>
    <row r="897" spans="1:23" s="79" customFormat="1" ht="38.25" x14ac:dyDescent="0.2">
      <c r="A897" s="1" t="s">
        <v>212</v>
      </c>
      <c r="B897" s="2" t="s">
        <v>213</v>
      </c>
      <c r="C897" s="2" t="s">
        <v>214</v>
      </c>
      <c r="D897" s="2" t="s">
        <v>121</v>
      </c>
      <c r="E897" s="2">
        <v>2023</v>
      </c>
      <c r="F897" s="2" t="s">
        <v>13</v>
      </c>
      <c r="G897" s="2" t="s">
        <v>3092</v>
      </c>
      <c r="H897" s="2" t="s">
        <v>3092</v>
      </c>
      <c r="I897" s="1" t="s">
        <v>5347</v>
      </c>
      <c r="J897" s="1" t="s">
        <v>5348</v>
      </c>
      <c r="K897" s="17"/>
      <c r="L897" s="54" t="s">
        <v>1670</v>
      </c>
      <c r="M897" s="39"/>
      <c r="N897" s="39"/>
      <c r="O897" s="39"/>
      <c r="P897" s="39"/>
      <c r="Q897" s="39"/>
      <c r="R897" s="39"/>
      <c r="S897" s="39"/>
      <c r="T897" s="39"/>
      <c r="U897" s="39"/>
      <c r="V897" s="39">
        <f>4820*0.004546</f>
        <v>21.911719999999999</v>
      </c>
      <c r="W897" s="92" t="s">
        <v>1701</v>
      </c>
    </row>
    <row r="898" spans="1:23" s="79" customFormat="1" ht="25.5" x14ac:dyDescent="0.2">
      <c r="A898" s="1" t="s">
        <v>212</v>
      </c>
      <c r="B898" s="2" t="s">
        <v>213</v>
      </c>
      <c r="C898" s="2" t="s">
        <v>214</v>
      </c>
      <c r="D898" s="2" t="s">
        <v>121</v>
      </c>
      <c r="E898" s="2">
        <v>2023</v>
      </c>
      <c r="F898" s="2" t="s">
        <v>256</v>
      </c>
      <c r="G898" s="2" t="s">
        <v>3092</v>
      </c>
      <c r="H898" s="2" t="s">
        <v>3092</v>
      </c>
      <c r="I898" s="1" t="s">
        <v>5349</v>
      </c>
      <c r="J898" s="1" t="s">
        <v>5350</v>
      </c>
      <c r="K898" s="17"/>
      <c r="L898" s="54"/>
      <c r="M898" s="39"/>
      <c r="N898" s="39"/>
      <c r="O898" s="39"/>
      <c r="P898" s="39"/>
      <c r="Q898" s="39"/>
      <c r="R898" s="39"/>
      <c r="S898" s="39"/>
      <c r="T898" s="39"/>
      <c r="U898" s="39"/>
      <c r="V898" s="39">
        <f>4600*0.004546</f>
        <v>20.9116</v>
      </c>
      <c r="W898" s="92" t="s">
        <v>1701</v>
      </c>
    </row>
    <row r="899" spans="1:23" s="79" customFormat="1" ht="25.5" x14ac:dyDescent="0.2">
      <c r="A899" s="1" t="s">
        <v>2918</v>
      </c>
      <c r="B899" s="2" t="s">
        <v>264</v>
      </c>
      <c r="C899" s="2" t="s">
        <v>2919</v>
      </c>
      <c r="D899" s="2" t="s">
        <v>230</v>
      </c>
      <c r="E899" s="2">
        <v>2023</v>
      </c>
      <c r="F899" s="2" t="s">
        <v>291</v>
      </c>
      <c r="G899" s="2" t="s">
        <v>3092</v>
      </c>
      <c r="H899" s="2" t="s">
        <v>3092</v>
      </c>
      <c r="I899" s="1" t="s">
        <v>5351</v>
      </c>
      <c r="J899" s="1" t="s">
        <v>5352</v>
      </c>
      <c r="K899" s="17"/>
      <c r="L899" s="54"/>
      <c r="M899" s="39"/>
      <c r="N899" s="39"/>
      <c r="O899" s="39"/>
      <c r="P899" s="39"/>
      <c r="Q899" s="39"/>
      <c r="R899" s="39"/>
      <c r="S899" s="39"/>
      <c r="T899" s="39"/>
      <c r="U899" s="39"/>
      <c r="V899" s="3"/>
      <c r="W899" s="92" t="s">
        <v>5353</v>
      </c>
    </row>
    <row r="900" spans="1:23" s="79" customFormat="1" ht="38.25" x14ac:dyDescent="0.2">
      <c r="A900" s="1" t="s">
        <v>5354</v>
      </c>
      <c r="B900" s="2" t="s">
        <v>264</v>
      </c>
      <c r="C900" s="2" t="s">
        <v>5355</v>
      </c>
      <c r="D900" s="2" t="s">
        <v>121</v>
      </c>
      <c r="E900" s="2">
        <v>2023</v>
      </c>
      <c r="F900" s="2" t="s">
        <v>276</v>
      </c>
      <c r="G900" s="2" t="s">
        <v>3092</v>
      </c>
      <c r="H900" s="2" t="s">
        <v>3092</v>
      </c>
      <c r="I900" s="1" t="s">
        <v>5356</v>
      </c>
      <c r="J900" s="1" t="s">
        <v>5357</v>
      </c>
      <c r="K900" s="17"/>
      <c r="L900" s="54"/>
      <c r="M900" s="39"/>
      <c r="N900" s="39"/>
      <c r="O900" s="39"/>
      <c r="P900" s="39"/>
      <c r="Q900" s="39"/>
      <c r="R900" s="39"/>
      <c r="S900" s="39"/>
      <c r="T900" s="39"/>
      <c r="U900" s="39"/>
      <c r="V900" s="39"/>
      <c r="W900" s="92" t="s">
        <v>5358</v>
      </c>
    </row>
    <row r="901" spans="1:23" s="79" customFormat="1" ht="25.5" x14ac:dyDescent="0.2">
      <c r="A901" s="1" t="s">
        <v>435</v>
      </c>
      <c r="B901" s="2" t="s">
        <v>436</v>
      </c>
      <c r="C901" s="2" t="s">
        <v>437</v>
      </c>
      <c r="D901" s="2" t="s">
        <v>419</v>
      </c>
      <c r="E901" s="2">
        <v>2023</v>
      </c>
      <c r="F901" s="2" t="s">
        <v>337</v>
      </c>
      <c r="G901" s="2" t="s">
        <v>3092</v>
      </c>
      <c r="H901" s="2" t="s">
        <v>3093</v>
      </c>
      <c r="I901" s="1" t="s">
        <v>5359</v>
      </c>
      <c r="J901" s="1" t="s">
        <v>14</v>
      </c>
      <c r="K901" s="17"/>
      <c r="L901" s="54"/>
      <c r="M901" s="39"/>
      <c r="N901" s="39"/>
      <c r="O901" s="39"/>
      <c r="P901" s="39"/>
      <c r="Q901" s="39"/>
      <c r="R901" s="39"/>
      <c r="S901" s="39"/>
      <c r="T901" s="39"/>
      <c r="U901" s="39"/>
      <c r="V901" s="39"/>
      <c r="W901" s="92" t="s">
        <v>1683</v>
      </c>
    </row>
    <row r="902" spans="1:23" s="79" customFormat="1" ht="114.75" x14ac:dyDescent="0.2">
      <c r="A902" s="1" t="s">
        <v>273</v>
      </c>
      <c r="B902" s="2" t="s">
        <v>196</v>
      </c>
      <c r="C902" s="2" t="s">
        <v>274</v>
      </c>
      <c r="D902" s="2" t="s">
        <v>275</v>
      </c>
      <c r="E902" s="2">
        <v>2023</v>
      </c>
      <c r="F902" s="2" t="s">
        <v>311</v>
      </c>
      <c r="G902" s="2" t="s">
        <v>3092</v>
      </c>
      <c r="H902" s="2" t="s">
        <v>3092</v>
      </c>
      <c r="I902" s="1" t="s">
        <v>5360</v>
      </c>
      <c r="J902" s="1" t="s">
        <v>5361</v>
      </c>
      <c r="K902" s="17"/>
      <c r="L902" s="80">
        <v>0.22</v>
      </c>
      <c r="M902" s="15"/>
      <c r="N902" s="15"/>
      <c r="O902" s="15">
        <f>409/L902</f>
        <v>1859.090909090909</v>
      </c>
      <c r="P902" s="15"/>
      <c r="Q902" s="15"/>
      <c r="R902" s="15"/>
      <c r="S902" s="15"/>
      <c r="T902" s="15"/>
      <c r="U902" s="15"/>
      <c r="V902" s="15"/>
      <c r="W902" s="92"/>
    </row>
    <row r="903" spans="1:23" s="79" customFormat="1" ht="63.75" x14ac:dyDescent="0.2">
      <c r="A903" s="1" t="s">
        <v>2926</v>
      </c>
      <c r="B903" s="2" t="s">
        <v>196</v>
      </c>
      <c r="C903" s="2" t="s">
        <v>274</v>
      </c>
      <c r="D903" s="2" t="s">
        <v>275</v>
      </c>
      <c r="E903" s="2">
        <v>2023</v>
      </c>
      <c r="F903" s="2" t="s">
        <v>276</v>
      </c>
      <c r="G903" s="2" t="s">
        <v>3092</v>
      </c>
      <c r="H903" s="2" t="s">
        <v>3092</v>
      </c>
      <c r="I903" s="1" t="s">
        <v>5362</v>
      </c>
      <c r="J903" s="1" t="s">
        <v>5363</v>
      </c>
      <c r="K903" s="17"/>
      <c r="L903" s="54">
        <v>0.04</v>
      </c>
      <c r="M903" s="39"/>
      <c r="N903" s="39"/>
      <c r="O903" s="39">
        <v>5000</v>
      </c>
      <c r="P903" s="39"/>
      <c r="Q903" s="39"/>
      <c r="R903" s="39"/>
      <c r="S903" s="39"/>
      <c r="T903" s="39"/>
      <c r="U903" s="39"/>
      <c r="V903" s="39"/>
      <c r="W903" s="92" t="s">
        <v>1699</v>
      </c>
    </row>
    <row r="904" spans="1:23" s="79" customFormat="1" ht="25.5" x14ac:dyDescent="0.2">
      <c r="A904" s="1" t="s">
        <v>65</v>
      </c>
      <c r="B904" s="2" t="s">
        <v>29</v>
      </c>
      <c r="C904" s="2" t="s">
        <v>66</v>
      </c>
      <c r="D904" s="2" t="s">
        <v>67</v>
      </c>
      <c r="E904" s="2">
        <v>2023</v>
      </c>
      <c r="F904" s="2" t="s">
        <v>13</v>
      </c>
      <c r="G904" s="2" t="s">
        <v>3095</v>
      </c>
      <c r="H904" s="2" t="s">
        <v>3092</v>
      </c>
      <c r="I904" s="1" t="s">
        <v>14</v>
      </c>
      <c r="J904" s="1" t="s">
        <v>5364</v>
      </c>
      <c r="K904" s="17"/>
      <c r="L904" s="54">
        <v>0.16</v>
      </c>
      <c r="M904" s="39"/>
      <c r="N904" s="39"/>
      <c r="O904" s="39">
        <f>182.6/2</f>
        <v>91.3</v>
      </c>
      <c r="P904" s="39">
        <f>182.6/2</f>
        <v>91.3</v>
      </c>
      <c r="Q904" s="39"/>
      <c r="R904" s="39"/>
      <c r="S904" s="39"/>
      <c r="T904" s="39"/>
      <c r="U904" s="39"/>
      <c r="V904" s="39"/>
      <c r="W904" s="92" t="s">
        <v>1749</v>
      </c>
    </row>
    <row r="905" spans="1:23" s="79" customFormat="1" ht="25.5" x14ac:dyDescent="0.2">
      <c r="A905" s="1" t="s">
        <v>65</v>
      </c>
      <c r="B905" s="2" t="s">
        <v>29</v>
      </c>
      <c r="C905" s="2" t="s">
        <v>66</v>
      </c>
      <c r="D905" s="2" t="s">
        <v>67</v>
      </c>
      <c r="E905" s="2">
        <v>2023</v>
      </c>
      <c r="F905" s="2" t="s">
        <v>188</v>
      </c>
      <c r="G905" s="2" t="s">
        <v>3095</v>
      </c>
      <c r="H905" s="2" t="s">
        <v>3092</v>
      </c>
      <c r="I905" s="1" t="s">
        <v>14</v>
      </c>
      <c r="J905" s="1" t="s">
        <v>5365</v>
      </c>
      <c r="K905" s="17"/>
      <c r="L905" s="54">
        <v>0.153</v>
      </c>
      <c r="M905" s="39"/>
      <c r="N905" s="39"/>
      <c r="O905" s="39">
        <f>161.6/2</f>
        <v>80.8</v>
      </c>
      <c r="P905" s="39">
        <f>161.6/2</f>
        <v>80.8</v>
      </c>
      <c r="Q905" s="39"/>
      <c r="R905" s="39"/>
      <c r="S905" s="39"/>
      <c r="T905" s="39"/>
      <c r="U905" s="39"/>
      <c r="V905" s="39"/>
      <c r="W905" s="92" t="s">
        <v>1749</v>
      </c>
    </row>
    <row r="906" spans="1:23" s="79" customFormat="1" ht="25.5" x14ac:dyDescent="0.2">
      <c r="A906" s="1" t="s">
        <v>65</v>
      </c>
      <c r="B906" s="2" t="s">
        <v>29</v>
      </c>
      <c r="C906" s="2" t="s">
        <v>66</v>
      </c>
      <c r="D906" s="2" t="s">
        <v>67</v>
      </c>
      <c r="E906" s="2">
        <v>2023</v>
      </c>
      <c r="F906" s="2" t="s">
        <v>203</v>
      </c>
      <c r="G906" s="2" t="s">
        <v>3095</v>
      </c>
      <c r="H906" s="2" t="s">
        <v>3092</v>
      </c>
      <c r="I906" s="1" t="s">
        <v>14</v>
      </c>
      <c r="J906" s="1" t="s">
        <v>5366</v>
      </c>
      <c r="K906" s="17"/>
      <c r="L906" s="54">
        <v>0.159</v>
      </c>
      <c r="M906" s="39"/>
      <c r="N906" s="39"/>
      <c r="O906" s="39">
        <f>174.1/2</f>
        <v>87.05</v>
      </c>
      <c r="P906" s="39">
        <f>174.1/2</f>
        <v>87.05</v>
      </c>
      <c r="Q906" s="39"/>
      <c r="R906" s="39"/>
      <c r="S906" s="39"/>
      <c r="T906" s="39"/>
      <c r="U906" s="39"/>
      <c r="V906" s="39"/>
      <c r="W906" s="92" t="s">
        <v>1749</v>
      </c>
    </row>
    <row r="907" spans="1:23" s="79" customFormat="1" ht="25.5" x14ac:dyDescent="0.2">
      <c r="A907" s="1" t="s">
        <v>65</v>
      </c>
      <c r="B907" s="2" t="s">
        <v>29</v>
      </c>
      <c r="C907" s="2" t="s">
        <v>66</v>
      </c>
      <c r="D907" s="2" t="s">
        <v>67</v>
      </c>
      <c r="E907" s="2">
        <v>2023</v>
      </c>
      <c r="F907" s="2" t="s">
        <v>211</v>
      </c>
      <c r="G907" s="2" t="s">
        <v>3095</v>
      </c>
      <c r="H907" s="2" t="s">
        <v>3092</v>
      </c>
      <c r="I907" s="1" t="s">
        <v>14</v>
      </c>
      <c r="J907" s="1" t="s">
        <v>5367</v>
      </c>
      <c r="K907" s="17"/>
      <c r="L907" s="54">
        <v>0.157</v>
      </c>
      <c r="M907" s="39"/>
      <c r="N907" s="39"/>
      <c r="O907" s="39">
        <f>104.1/2</f>
        <v>52.05</v>
      </c>
      <c r="P907" s="39">
        <f>104.1/2</f>
        <v>52.05</v>
      </c>
      <c r="Q907" s="39"/>
      <c r="R907" s="39"/>
      <c r="S907" s="39"/>
      <c r="T907" s="39"/>
      <c r="U907" s="39"/>
      <c r="V907" s="39"/>
      <c r="W907" s="92" t="s">
        <v>1749</v>
      </c>
    </row>
    <row r="908" spans="1:23" s="79" customFormat="1" ht="25.5" x14ac:dyDescent="0.2">
      <c r="A908" s="1" t="s">
        <v>65</v>
      </c>
      <c r="B908" s="2" t="s">
        <v>29</v>
      </c>
      <c r="C908" s="2" t="s">
        <v>66</v>
      </c>
      <c r="D908" s="2" t="s">
        <v>67</v>
      </c>
      <c r="E908" s="2">
        <v>2023</v>
      </c>
      <c r="F908" s="2" t="s">
        <v>221</v>
      </c>
      <c r="G908" s="2" t="s">
        <v>3095</v>
      </c>
      <c r="H908" s="2" t="s">
        <v>3092</v>
      </c>
      <c r="I908" s="1" t="s">
        <v>14</v>
      </c>
      <c r="J908" s="1" t="s">
        <v>5368</v>
      </c>
      <c r="K908" s="17"/>
      <c r="L908" s="54">
        <v>0.16900000000000001</v>
      </c>
      <c r="M908" s="39"/>
      <c r="N908" s="39"/>
      <c r="O908" s="39">
        <f>159.5/2</f>
        <v>79.75</v>
      </c>
      <c r="P908" s="39">
        <f>159.5/2</f>
        <v>79.75</v>
      </c>
      <c r="Q908" s="39"/>
      <c r="R908" s="39"/>
      <c r="S908" s="39"/>
      <c r="T908" s="39"/>
      <c r="U908" s="39"/>
      <c r="V908" s="39"/>
      <c r="W908" s="92" t="s">
        <v>1749</v>
      </c>
    </row>
    <row r="909" spans="1:23" s="79" customFormat="1" ht="25.5" x14ac:dyDescent="0.2">
      <c r="A909" s="1" t="s">
        <v>65</v>
      </c>
      <c r="B909" s="2" t="s">
        <v>29</v>
      </c>
      <c r="C909" s="2" t="s">
        <v>66</v>
      </c>
      <c r="D909" s="2" t="s">
        <v>67</v>
      </c>
      <c r="E909" s="2">
        <v>2023</v>
      </c>
      <c r="F909" s="2" t="s">
        <v>256</v>
      </c>
      <c r="G909" s="2" t="s">
        <v>3095</v>
      </c>
      <c r="H909" s="2" t="s">
        <v>3092</v>
      </c>
      <c r="I909" s="1" t="s">
        <v>14</v>
      </c>
      <c r="J909" s="1" t="s">
        <v>5369</v>
      </c>
      <c r="K909" s="17"/>
      <c r="L909" s="54">
        <v>0.156</v>
      </c>
      <c r="M909" s="39"/>
      <c r="N909" s="39"/>
      <c r="O909" s="39">
        <f>182.9/2</f>
        <v>91.45</v>
      </c>
      <c r="P909" s="39">
        <f>182.9/2</f>
        <v>91.45</v>
      </c>
      <c r="Q909" s="39"/>
      <c r="R909" s="39"/>
      <c r="S909" s="39"/>
      <c r="T909" s="39"/>
      <c r="U909" s="39"/>
      <c r="V909" s="39"/>
      <c r="W909" s="92" t="s">
        <v>1749</v>
      </c>
    </row>
    <row r="910" spans="1:23" s="79" customFormat="1" ht="25.5" x14ac:dyDescent="0.2">
      <c r="A910" s="1" t="s">
        <v>65</v>
      </c>
      <c r="B910" s="2" t="s">
        <v>29</v>
      </c>
      <c r="C910" s="2" t="s">
        <v>66</v>
      </c>
      <c r="D910" s="2" t="s">
        <v>67</v>
      </c>
      <c r="E910" s="2">
        <v>2023</v>
      </c>
      <c r="F910" s="2" t="s">
        <v>276</v>
      </c>
      <c r="G910" s="2" t="s">
        <v>3095</v>
      </c>
      <c r="H910" s="2" t="s">
        <v>3092</v>
      </c>
      <c r="I910" s="1" t="s">
        <v>14</v>
      </c>
      <c r="J910" s="1" t="s">
        <v>5370</v>
      </c>
      <c r="K910" s="17"/>
      <c r="L910" s="54">
        <v>0.155</v>
      </c>
      <c r="M910" s="39"/>
      <c r="N910" s="39"/>
      <c r="O910" s="39">
        <f>167.8/2</f>
        <v>83.9</v>
      </c>
      <c r="P910" s="39">
        <f>167.8/2</f>
        <v>83.9</v>
      </c>
      <c r="Q910" s="39"/>
      <c r="R910" s="39"/>
      <c r="S910" s="39"/>
      <c r="T910" s="14"/>
      <c r="U910" s="39"/>
      <c r="V910" s="39"/>
      <c r="W910" s="92" t="s">
        <v>1749</v>
      </c>
    </row>
    <row r="911" spans="1:23" s="79" customFormat="1" ht="25.5" x14ac:dyDescent="0.2">
      <c r="A911" s="1" t="s">
        <v>65</v>
      </c>
      <c r="B911" s="2" t="s">
        <v>29</v>
      </c>
      <c r="C911" s="2" t="s">
        <v>66</v>
      </c>
      <c r="D911" s="2" t="s">
        <v>67</v>
      </c>
      <c r="E911" s="2">
        <v>2023</v>
      </c>
      <c r="F911" s="2" t="s">
        <v>291</v>
      </c>
      <c r="G911" s="2" t="s">
        <v>3095</v>
      </c>
      <c r="H911" s="2" t="s">
        <v>3092</v>
      </c>
      <c r="I911" s="1" t="s">
        <v>14</v>
      </c>
      <c r="J911" s="1" t="s">
        <v>5371</v>
      </c>
      <c r="K911" s="17"/>
      <c r="L911" s="54">
        <v>0.15</v>
      </c>
      <c r="M911" s="39"/>
      <c r="N911" s="39"/>
      <c r="O911" s="39">
        <f>165.9/2</f>
        <v>82.95</v>
      </c>
      <c r="P911" s="39">
        <f>165.9/2</f>
        <v>82.95</v>
      </c>
      <c r="Q911" s="39"/>
      <c r="R911" s="39"/>
      <c r="S911" s="39"/>
      <c r="T911" s="39"/>
      <c r="U911" s="39"/>
      <c r="V911" s="39"/>
      <c r="W911" s="92" t="s">
        <v>1749</v>
      </c>
    </row>
    <row r="912" spans="1:23" s="79" customFormat="1" ht="25.5" x14ac:dyDescent="0.2">
      <c r="A912" s="1" t="s">
        <v>65</v>
      </c>
      <c r="B912" s="2" t="s">
        <v>29</v>
      </c>
      <c r="C912" s="2" t="s">
        <v>66</v>
      </c>
      <c r="D912" s="2" t="s">
        <v>67</v>
      </c>
      <c r="E912" s="2">
        <v>2023</v>
      </c>
      <c r="F912" s="2" t="s">
        <v>311</v>
      </c>
      <c r="G912" s="2" t="s">
        <v>3095</v>
      </c>
      <c r="H912" s="2" t="s">
        <v>3092</v>
      </c>
      <c r="I912" s="1" t="s">
        <v>14</v>
      </c>
      <c r="J912" s="1" t="s">
        <v>5372</v>
      </c>
      <c r="K912" s="17"/>
      <c r="L912" s="54">
        <v>0.14000000000000001</v>
      </c>
      <c r="M912" s="39"/>
      <c r="N912" s="39"/>
      <c r="O912" s="39">
        <f>171.6/2</f>
        <v>85.8</v>
      </c>
      <c r="P912" s="39">
        <f>171.6/2</f>
        <v>85.8</v>
      </c>
      <c r="Q912" s="39"/>
      <c r="R912" s="39"/>
      <c r="S912" s="39"/>
      <c r="T912" s="39"/>
      <c r="U912" s="39"/>
      <c r="V912" s="39"/>
      <c r="W912" s="92" t="s">
        <v>1749</v>
      </c>
    </row>
    <row r="913" spans="1:23" s="79" customFormat="1" ht="25.5" x14ac:dyDescent="0.2">
      <c r="A913" s="1" t="s">
        <v>65</v>
      </c>
      <c r="B913" s="2" t="s">
        <v>29</v>
      </c>
      <c r="C913" s="2" t="s">
        <v>66</v>
      </c>
      <c r="D913" s="2" t="s">
        <v>67</v>
      </c>
      <c r="E913" s="2">
        <v>2023</v>
      </c>
      <c r="F913" s="2" t="s">
        <v>337</v>
      </c>
      <c r="G913" s="2" t="s">
        <v>3095</v>
      </c>
      <c r="H913" s="2" t="s">
        <v>3092</v>
      </c>
      <c r="I913" s="1" t="s">
        <v>14</v>
      </c>
      <c r="J913" s="1" t="s">
        <v>5373</v>
      </c>
      <c r="K913" s="17"/>
      <c r="L913" s="54">
        <v>0.14000000000000001</v>
      </c>
      <c r="M913" s="39"/>
      <c r="N913" s="39"/>
      <c r="O913" s="39">
        <f>144.6/2</f>
        <v>72.3</v>
      </c>
      <c r="P913" s="39">
        <f>144.6/2</f>
        <v>72.3</v>
      </c>
      <c r="Q913" s="39"/>
      <c r="R913" s="39"/>
      <c r="S913" s="39"/>
      <c r="T913" s="39"/>
      <c r="U913" s="39"/>
      <c r="V913" s="39"/>
      <c r="W913" s="92" t="s">
        <v>1749</v>
      </c>
    </row>
    <row r="914" spans="1:23" s="79" customFormat="1" ht="25.5" x14ac:dyDescent="0.2">
      <c r="A914" s="1" t="s">
        <v>65</v>
      </c>
      <c r="B914" s="2" t="s">
        <v>29</v>
      </c>
      <c r="C914" s="2" t="s">
        <v>66</v>
      </c>
      <c r="D914" s="2" t="s">
        <v>67</v>
      </c>
      <c r="E914" s="2">
        <v>2023</v>
      </c>
      <c r="F914" s="2" t="s">
        <v>364</v>
      </c>
      <c r="G914" s="2" t="s">
        <v>3095</v>
      </c>
      <c r="H914" s="2" t="s">
        <v>3092</v>
      </c>
      <c r="I914" s="1" t="s">
        <v>14</v>
      </c>
      <c r="J914" s="1" t="s">
        <v>5374</v>
      </c>
      <c r="K914" s="17"/>
      <c r="L914" s="54">
        <v>0.13</v>
      </c>
      <c r="M914" s="39"/>
      <c r="N914" s="39"/>
      <c r="O914" s="39">
        <f>197.6/2</f>
        <v>98.8</v>
      </c>
      <c r="P914" s="39">
        <f>197.6/2</f>
        <v>98.8</v>
      </c>
      <c r="Q914" s="39"/>
      <c r="R914" s="39"/>
      <c r="S914" s="39"/>
      <c r="T914" s="39"/>
      <c r="U914" s="39"/>
      <c r="V914" s="39"/>
      <c r="W914" s="92" t="s">
        <v>1749</v>
      </c>
    </row>
    <row r="915" spans="1:23" s="79" customFormat="1" ht="25.5" x14ac:dyDescent="0.2">
      <c r="A915" s="1" t="s">
        <v>65</v>
      </c>
      <c r="B915" s="2" t="s">
        <v>29</v>
      </c>
      <c r="C915" s="2" t="s">
        <v>66</v>
      </c>
      <c r="D915" s="2" t="s">
        <v>67</v>
      </c>
      <c r="E915" s="2">
        <v>2023</v>
      </c>
      <c r="F915" s="2" t="s">
        <v>388</v>
      </c>
      <c r="G915" s="2" t="s">
        <v>3095</v>
      </c>
      <c r="H915" s="2" t="s">
        <v>3092</v>
      </c>
      <c r="I915" s="1" t="s">
        <v>14</v>
      </c>
      <c r="J915" s="1" t="s">
        <v>5375</v>
      </c>
      <c r="K915" s="17"/>
      <c r="L915" s="54">
        <v>0.14000000000000001</v>
      </c>
      <c r="M915" s="39"/>
      <c r="N915" s="39"/>
      <c r="O915" s="39">
        <f>168.7/2</f>
        <v>84.35</v>
      </c>
      <c r="P915" s="39">
        <f>168.7/2</f>
        <v>84.35</v>
      </c>
      <c r="Q915" s="39"/>
      <c r="R915" s="39"/>
      <c r="S915" s="39"/>
      <c r="T915" s="39"/>
      <c r="U915" s="39"/>
      <c r="V915" s="39"/>
      <c r="W915" s="92" t="s">
        <v>1749</v>
      </c>
    </row>
    <row r="916" spans="1:23" s="79" customFormat="1" ht="51" x14ac:dyDescent="0.2">
      <c r="A916" s="1" t="s">
        <v>466</v>
      </c>
      <c r="B916" s="2" t="s">
        <v>196</v>
      </c>
      <c r="C916" s="2" t="s">
        <v>467</v>
      </c>
      <c r="D916" s="2" t="s">
        <v>356</v>
      </c>
      <c r="E916" s="2">
        <v>2023</v>
      </c>
      <c r="F916" s="2" t="s">
        <v>337</v>
      </c>
      <c r="G916" s="2" t="s">
        <v>3093</v>
      </c>
      <c r="H916" s="2" t="s">
        <v>3092</v>
      </c>
      <c r="I916" s="1" t="s">
        <v>14</v>
      </c>
      <c r="J916" s="1" t="s">
        <v>5376</v>
      </c>
      <c r="K916" s="17"/>
      <c r="L916" s="54">
        <v>0.98</v>
      </c>
      <c r="M916" s="39"/>
      <c r="N916" s="39"/>
      <c r="O916" s="39">
        <f>16/L916</f>
        <v>16.326530612244898</v>
      </c>
      <c r="P916" s="39"/>
      <c r="Q916" s="39"/>
      <c r="R916" s="39"/>
      <c r="S916" s="39"/>
      <c r="T916" s="39"/>
      <c r="U916" s="39"/>
      <c r="V916" s="39"/>
      <c r="W916" s="92"/>
    </row>
    <row r="917" spans="1:23" s="79" customFormat="1" ht="25.5" x14ac:dyDescent="0.2">
      <c r="A917" s="1" t="s">
        <v>378</v>
      </c>
      <c r="B917" s="2" t="s">
        <v>277</v>
      </c>
      <c r="C917" s="2" t="s">
        <v>379</v>
      </c>
      <c r="D917" s="2" t="s">
        <v>380</v>
      </c>
      <c r="E917" s="2">
        <v>2023</v>
      </c>
      <c r="F917" s="2" t="s">
        <v>364</v>
      </c>
      <c r="G917" s="2" t="s">
        <v>3092</v>
      </c>
      <c r="H917" s="2" t="s">
        <v>3092</v>
      </c>
      <c r="I917" s="1" t="s">
        <v>5377</v>
      </c>
      <c r="J917" s="1" t="s">
        <v>5377</v>
      </c>
      <c r="K917" s="17"/>
      <c r="L917" s="54"/>
      <c r="M917" s="39"/>
      <c r="N917" s="39"/>
      <c r="O917" s="39"/>
      <c r="P917" s="39"/>
      <c r="Q917" s="39"/>
      <c r="R917" s="39"/>
      <c r="S917" s="39"/>
      <c r="T917" s="39"/>
      <c r="U917" s="39"/>
      <c r="V917" s="39"/>
      <c r="W917" s="92" t="s">
        <v>4207</v>
      </c>
    </row>
    <row r="918" spans="1:23" s="79" customFormat="1" ht="25.5" x14ac:dyDescent="0.2">
      <c r="A918" s="1" t="s">
        <v>381</v>
      </c>
      <c r="B918" s="2" t="s">
        <v>232</v>
      </c>
      <c r="C918" s="2" t="s">
        <v>379</v>
      </c>
      <c r="D918" s="2" t="s">
        <v>380</v>
      </c>
      <c r="E918" s="2">
        <v>2023</v>
      </c>
      <c r="F918" s="2" t="s">
        <v>364</v>
      </c>
      <c r="G918" s="2" t="s">
        <v>3092</v>
      </c>
      <c r="H918" s="2" t="s">
        <v>3092</v>
      </c>
      <c r="I918" s="1" t="s">
        <v>5378</v>
      </c>
      <c r="J918" s="1" t="s">
        <v>5378</v>
      </c>
      <c r="K918" s="17"/>
      <c r="L918" s="54"/>
      <c r="M918" s="39"/>
      <c r="N918" s="39"/>
      <c r="O918" s="39"/>
      <c r="P918" s="39"/>
      <c r="Q918" s="39"/>
      <c r="R918" s="39"/>
      <c r="S918" s="39"/>
      <c r="T918" s="39"/>
      <c r="U918" s="39"/>
      <c r="V918" s="39"/>
      <c r="W918" s="92" t="s">
        <v>4207</v>
      </c>
    </row>
    <row r="919" spans="1:23" s="79" customFormat="1" ht="25.5" x14ac:dyDescent="0.2">
      <c r="A919" s="1" t="s">
        <v>2943</v>
      </c>
      <c r="B919" s="2" t="s">
        <v>196</v>
      </c>
      <c r="C919" s="2" t="s">
        <v>379</v>
      </c>
      <c r="D919" s="2" t="s">
        <v>380</v>
      </c>
      <c r="E919" s="2">
        <v>2023</v>
      </c>
      <c r="F919" s="2" t="s">
        <v>276</v>
      </c>
      <c r="G919" s="2" t="s">
        <v>3092</v>
      </c>
      <c r="H919" s="2" t="s">
        <v>3092</v>
      </c>
      <c r="I919" s="1" t="s">
        <v>5379</v>
      </c>
      <c r="J919" s="1" t="s">
        <v>5380</v>
      </c>
      <c r="K919" s="17"/>
      <c r="L919" s="54">
        <v>0.43</v>
      </c>
      <c r="M919" s="39"/>
      <c r="N919" s="39"/>
      <c r="O919" s="39">
        <f>147.79/L919</f>
        <v>343.69767441860466</v>
      </c>
      <c r="P919" s="39"/>
      <c r="Q919" s="39"/>
      <c r="R919" s="39"/>
      <c r="S919" s="39"/>
      <c r="T919" s="39"/>
      <c r="U919" s="39"/>
      <c r="V919" s="39"/>
      <c r="W919" s="92"/>
    </row>
    <row r="920" spans="1:23" s="79" customFormat="1" ht="25.5" x14ac:dyDescent="0.2">
      <c r="A920" s="1" t="s">
        <v>2943</v>
      </c>
      <c r="B920" s="2" t="s">
        <v>196</v>
      </c>
      <c r="C920" s="2" t="s">
        <v>379</v>
      </c>
      <c r="D920" s="2" t="s">
        <v>380</v>
      </c>
      <c r="E920" s="2">
        <v>2023</v>
      </c>
      <c r="F920" s="2" t="s">
        <v>291</v>
      </c>
      <c r="G920" s="2" t="s">
        <v>3092</v>
      </c>
      <c r="H920" s="2" t="s">
        <v>3092</v>
      </c>
      <c r="I920" s="1" t="s">
        <v>5381</v>
      </c>
      <c r="J920" s="1" t="s">
        <v>5382</v>
      </c>
      <c r="K920" s="17"/>
      <c r="L920" s="54">
        <v>0.438</v>
      </c>
      <c r="M920" s="39"/>
      <c r="N920" s="39"/>
      <c r="O920" s="39">
        <v>153.33000000000001</v>
      </c>
      <c r="P920" s="39"/>
      <c r="Q920" s="39"/>
      <c r="R920" s="39"/>
      <c r="S920" s="39"/>
      <c r="T920" s="39"/>
      <c r="U920" s="39"/>
      <c r="V920" s="39"/>
      <c r="W920" s="92"/>
    </row>
    <row r="921" spans="1:23" s="79" customFormat="1" ht="25.5" x14ac:dyDescent="0.2">
      <c r="A921" s="1" t="s">
        <v>2943</v>
      </c>
      <c r="B921" s="2" t="s">
        <v>196</v>
      </c>
      <c r="C921" s="2" t="s">
        <v>379</v>
      </c>
      <c r="D921" s="2" t="s">
        <v>380</v>
      </c>
      <c r="E921" s="2">
        <v>2023</v>
      </c>
      <c r="F921" s="2" t="s">
        <v>311</v>
      </c>
      <c r="G921" s="2" t="s">
        <v>3092</v>
      </c>
      <c r="H921" s="2" t="s">
        <v>3092</v>
      </c>
      <c r="I921" s="1" t="s">
        <v>5383</v>
      </c>
      <c r="J921" s="1" t="s">
        <v>5384</v>
      </c>
      <c r="K921" s="17"/>
      <c r="L921" s="54" t="s">
        <v>1670</v>
      </c>
      <c r="M921" s="39"/>
      <c r="N921" s="39"/>
      <c r="O921" s="39">
        <v>1455</v>
      </c>
      <c r="P921" s="39"/>
      <c r="Q921" s="39"/>
      <c r="R921" s="39"/>
      <c r="S921" s="39"/>
      <c r="T921" s="39"/>
      <c r="U921" s="39"/>
      <c r="V921" s="39"/>
      <c r="W921" s="92" t="s">
        <v>1682</v>
      </c>
    </row>
    <row r="922" spans="1:23" s="79" customFormat="1" ht="25.5" x14ac:dyDescent="0.2">
      <c r="A922" s="1" t="s">
        <v>2949</v>
      </c>
      <c r="B922" s="2" t="s">
        <v>318</v>
      </c>
      <c r="C922" s="2" t="s">
        <v>379</v>
      </c>
      <c r="D922" s="2" t="s">
        <v>380</v>
      </c>
      <c r="E922" s="2">
        <v>2023</v>
      </c>
      <c r="F922" s="2" t="s">
        <v>364</v>
      </c>
      <c r="G922" s="2" t="s">
        <v>3092</v>
      </c>
      <c r="H922" s="2" t="s">
        <v>3092</v>
      </c>
      <c r="I922" s="1" t="s">
        <v>5385</v>
      </c>
      <c r="J922" s="1" t="s">
        <v>5385</v>
      </c>
      <c r="K922" s="17"/>
      <c r="L922" s="54"/>
      <c r="M922" s="39"/>
      <c r="N922" s="39"/>
      <c r="O922" s="39"/>
      <c r="P922" s="39"/>
      <c r="Q922" s="39"/>
      <c r="R922" s="39"/>
      <c r="S922" s="39"/>
      <c r="T922" s="39"/>
      <c r="U922" s="39"/>
      <c r="V922" s="39"/>
      <c r="W922" s="92" t="s">
        <v>4207</v>
      </c>
    </row>
    <row r="923" spans="1:23" s="79" customFormat="1" ht="25.5" x14ac:dyDescent="0.2">
      <c r="A923" s="1" t="s">
        <v>455</v>
      </c>
      <c r="B923" s="2" t="s">
        <v>196</v>
      </c>
      <c r="C923" s="2" t="s">
        <v>379</v>
      </c>
      <c r="D923" s="2" t="s">
        <v>380</v>
      </c>
      <c r="E923" s="2">
        <v>2023</v>
      </c>
      <c r="F923" s="2" t="s">
        <v>256</v>
      </c>
      <c r="G923" s="2" t="s">
        <v>3092</v>
      </c>
      <c r="H923" s="2" t="s">
        <v>3092</v>
      </c>
      <c r="I923" s="1" t="s">
        <v>5386</v>
      </c>
      <c r="J923" s="1" t="s">
        <v>5387</v>
      </c>
      <c r="K923" s="17"/>
      <c r="L923" s="80">
        <v>0.25</v>
      </c>
      <c r="M923" s="15"/>
      <c r="N923" s="15"/>
      <c r="O923" s="15">
        <v>2161</v>
      </c>
      <c r="P923" s="15"/>
      <c r="Q923" s="15"/>
      <c r="R923" s="15"/>
      <c r="S923" s="15"/>
      <c r="T923" s="15"/>
      <c r="U923" s="15"/>
      <c r="V923" s="15"/>
      <c r="W923" s="92"/>
    </row>
    <row r="924" spans="1:23" s="79" customFormat="1" ht="25.5" x14ac:dyDescent="0.2">
      <c r="A924" s="1" t="s">
        <v>455</v>
      </c>
      <c r="B924" s="2" t="s">
        <v>196</v>
      </c>
      <c r="C924" s="2" t="s">
        <v>379</v>
      </c>
      <c r="D924" s="2" t="s">
        <v>380</v>
      </c>
      <c r="E924" s="2">
        <v>2023</v>
      </c>
      <c r="F924" s="2" t="s">
        <v>276</v>
      </c>
      <c r="G924" s="2" t="s">
        <v>3092</v>
      </c>
      <c r="H924" s="2" t="s">
        <v>3092</v>
      </c>
      <c r="I924" s="1" t="s">
        <v>5388</v>
      </c>
      <c r="J924" s="1" t="s">
        <v>5389</v>
      </c>
      <c r="K924" s="17"/>
      <c r="L924" s="54">
        <v>0.24299999999999999</v>
      </c>
      <c r="M924" s="39"/>
      <c r="N924" s="39"/>
      <c r="O924" s="39">
        <v>3603</v>
      </c>
      <c r="P924" s="39"/>
      <c r="Q924" s="39"/>
      <c r="R924" s="39"/>
      <c r="S924" s="39"/>
      <c r="T924" s="39"/>
      <c r="U924" s="39"/>
      <c r="V924" s="39"/>
      <c r="W924" s="92"/>
    </row>
    <row r="925" spans="1:23" s="79" customFormat="1" ht="25.5" x14ac:dyDescent="0.2">
      <c r="A925" s="1" t="s">
        <v>455</v>
      </c>
      <c r="B925" s="2" t="s">
        <v>196</v>
      </c>
      <c r="C925" s="2" t="s">
        <v>379</v>
      </c>
      <c r="D925" s="2" t="s">
        <v>380</v>
      </c>
      <c r="E925" s="2">
        <v>2023</v>
      </c>
      <c r="F925" s="2" t="s">
        <v>291</v>
      </c>
      <c r="G925" s="2" t="s">
        <v>3092</v>
      </c>
      <c r="H925" s="2" t="s">
        <v>3092</v>
      </c>
      <c r="I925" s="1" t="s">
        <v>5390</v>
      </c>
      <c r="J925" s="1" t="s">
        <v>5391</v>
      </c>
      <c r="K925" s="17"/>
      <c r="L925" s="54">
        <v>0.254</v>
      </c>
      <c r="M925" s="39"/>
      <c r="N925" s="39"/>
      <c r="O925" s="39">
        <v>8049</v>
      </c>
      <c r="P925" s="39"/>
      <c r="Q925" s="39"/>
      <c r="R925" s="39"/>
      <c r="S925" s="39"/>
      <c r="T925" s="39"/>
      <c r="U925" s="39"/>
      <c r="V925" s="39"/>
      <c r="W925" s="92"/>
    </row>
    <row r="926" spans="1:23" s="79" customFormat="1" ht="38.25" x14ac:dyDescent="0.2">
      <c r="A926" s="1" t="s">
        <v>1312</v>
      </c>
      <c r="B926" s="2" t="s">
        <v>196</v>
      </c>
      <c r="C926" s="2" t="s">
        <v>1313</v>
      </c>
      <c r="D926" s="2" t="s">
        <v>230</v>
      </c>
      <c r="E926" s="2">
        <v>2023</v>
      </c>
      <c r="F926" s="2" t="s">
        <v>211</v>
      </c>
      <c r="G926" s="2" t="s">
        <v>3092</v>
      </c>
      <c r="H926" s="2" t="s">
        <v>3093</v>
      </c>
      <c r="I926" s="1" t="s">
        <v>5392</v>
      </c>
      <c r="J926" s="1" t="s">
        <v>14</v>
      </c>
      <c r="K926" s="17"/>
      <c r="L926" s="54"/>
      <c r="M926" s="39"/>
      <c r="N926" s="39"/>
      <c r="O926" s="39"/>
      <c r="P926" s="39"/>
      <c r="Q926" s="39"/>
      <c r="R926" s="39"/>
      <c r="S926" s="39"/>
      <c r="T926" s="39"/>
      <c r="U926" s="39"/>
      <c r="V926" s="39"/>
      <c r="W926" s="92" t="s">
        <v>1693</v>
      </c>
    </row>
    <row r="927" spans="1:23" s="79" customFormat="1" ht="306" x14ac:dyDescent="0.2">
      <c r="A927" s="1" t="s">
        <v>1312</v>
      </c>
      <c r="B927" s="2" t="s">
        <v>196</v>
      </c>
      <c r="C927" s="2" t="s">
        <v>1313</v>
      </c>
      <c r="D927" s="2" t="s">
        <v>230</v>
      </c>
      <c r="E927" s="2">
        <v>2023</v>
      </c>
      <c r="F927" s="2" t="s">
        <v>221</v>
      </c>
      <c r="G927" s="2" t="s">
        <v>3092</v>
      </c>
      <c r="H927" s="2" t="s">
        <v>3092</v>
      </c>
      <c r="I927" s="1" t="s">
        <v>5393</v>
      </c>
      <c r="J927" s="1" t="s">
        <v>5394</v>
      </c>
      <c r="K927" s="17"/>
      <c r="L927" s="54">
        <v>6.9000000000000006E-2</v>
      </c>
      <c r="M927" s="39"/>
      <c r="N927" s="39"/>
      <c r="O927" s="39">
        <v>858</v>
      </c>
      <c r="P927" s="39"/>
      <c r="Q927" s="39"/>
      <c r="R927" s="39"/>
      <c r="S927" s="39"/>
      <c r="T927" s="39"/>
      <c r="U927" s="39"/>
      <c r="V927" s="39"/>
      <c r="W927" s="92" t="s">
        <v>5395</v>
      </c>
    </row>
    <row r="928" spans="1:23" s="79" customFormat="1" ht="204" x14ac:dyDescent="0.2">
      <c r="A928" s="1" t="s">
        <v>5396</v>
      </c>
      <c r="B928" s="2" t="s">
        <v>196</v>
      </c>
      <c r="C928" s="2" t="s">
        <v>5397</v>
      </c>
      <c r="D928" s="2" t="s">
        <v>108</v>
      </c>
      <c r="E928" s="2">
        <v>2023</v>
      </c>
      <c r="F928" s="2" t="s">
        <v>276</v>
      </c>
      <c r="G928" s="2" t="s">
        <v>3092</v>
      </c>
      <c r="H928" s="2" t="s">
        <v>3092</v>
      </c>
      <c r="I928" s="1" t="s">
        <v>5398</v>
      </c>
      <c r="J928" s="1" t="s">
        <v>5398</v>
      </c>
      <c r="K928" s="17"/>
      <c r="L928" s="54">
        <v>0.26129999999999998</v>
      </c>
      <c r="M928" s="39"/>
      <c r="N928" s="39"/>
      <c r="O928" s="39"/>
      <c r="P928" s="39"/>
      <c r="Q928" s="39"/>
      <c r="R928" s="39"/>
      <c r="S928" s="39">
        <f>596.89+588.28</f>
        <v>1185.17</v>
      </c>
      <c r="T928" s="39"/>
      <c r="U928" s="39"/>
      <c r="V928" s="39"/>
      <c r="W928" s="92"/>
    </row>
    <row r="929" spans="1:23" s="79" customFormat="1" ht="140.25" x14ac:dyDescent="0.2">
      <c r="A929" s="1" t="s">
        <v>5396</v>
      </c>
      <c r="B929" s="2" t="s">
        <v>196</v>
      </c>
      <c r="C929" s="2" t="s">
        <v>5397</v>
      </c>
      <c r="D929" s="2" t="s">
        <v>108</v>
      </c>
      <c r="E929" s="2">
        <v>2023</v>
      </c>
      <c r="F929" s="2" t="s">
        <v>291</v>
      </c>
      <c r="G929" s="2" t="s">
        <v>3092</v>
      </c>
      <c r="H929" s="2" t="s">
        <v>3092</v>
      </c>
      <c r="I929" s="1" t="s">
        <v>5399</v>
      </c>
      <c r="J929" s="1" t="s">
        <v>5400</v>
      </c>
      <c r="K929" s="17"/>
      <c r="L929" s="54">
        <v>0.29039999999999999</v>
      </c>
      <c r="M929" s="39"/>
      <c r="N929" s="39"/>
      <c r="O929" s="39"/>
      <c r="P929" s="39"/>
      <c r="Q929" s="39"/>
      <c r="R929" s="39"/>
      <c r="S929" s="39">
        <v>504.38</v>
      </c>
      <c r="T929" s="39"/>
      <c r="U929" s="39"/>
      <c r="V929" s="39"/>
      <c r="W929" s="92"/>
    </row>
    <row r="930" spans="1:23" s="79" customFormat="1" ht="25.5" x14ac:dyDescent="0.2">
      <c r="A930" s="1" t="s">
        <v>4221</v>
      </c>
      <c r="B930" s="2" t="s">
        <v>38</v>
      </c>
      <c r="C930" s="2" t="s">
        <v>145</v>
      </c>
      <c r="D930" s="2" t="s">
        <v>146</v>
      </c>
      <c r="E930" s="2">
        <v>2023</v>
      </c>
      <c r="F930" s="2" t="s">
        <v>13</v>
      </c>
      <c r="G930" s="2" t="s">
        <v>3095</v>
      </c>
      <c r="H930" s="2" t="s">
        <v>3092</v>
      </c>
      <c r="I930" s="1" t="s">
        <v>14</v>
      </c>
      <c r="J930" s="1" t="s">
        <v>5401</v>
      </c>
      <c r="K930" s="17"/>
      <c r="L930" s="53">
        <v>0.16700000000000001</v>
      </c>
      <c r="M930" s="39"/>
      <c r="N930" s="39"/>
      <c r="O930" s="39"/>
      <c r="P930" s="39">
        <v>101.2</v>
      </c>
      <c r="Q930" s="39"/>
      <c r="R930" s="39"/>
      <c r="S930" s="39"/>
      <c r="T930" s="39"/>
      <c r="U930" s="39"/>
      <c r="V930" s="39"/>
      <c r="W930" s="92"/>
    </row>
    <row r="931" spans="1:23" s="79" customFormat="1" ht="25.5" x14ac:dyDescent="0.2">
      <c r="A931" s="1" t="s">
        <v>4221</v>
      </c>
      <c r="B931" s="2" t="s">
        <v>38</v>
      </c>
      <c r="C931" s="2" t="s">
        <v>145</v>
      </c>
      <c r="D931" s="2" t="s">
        <v>146</v>
      </c>
      <c r="E931" s="2">
        <v>2023</v>
      </c>
      <c r="F931" s="2" t="s">
        <v>203</v>
      </c>
      <c r="G931" s="2" t="s">
        <v>3095</v>
      </c>
      <c r="H931" s="2" t="s">
        <v>3092</v>
      </c>
      <c r="I931" s="1" t="s">
        <v>14</v>
      </c>
      <c r="J931" s="1" t="s">
        <v>5402</v>
      </c>
      <c r="K931" s="17"/>
      <c r="L931" s="54">
        <v>0.19800000000000001</v>
      </c>
      <c r="M931" s="39"/>
      <c r="N931" s="39"/>
      <c r="O931" s="39"/>
      <c r="P931" s="39">
        <v>119.6</v>
      </c>
      <c r="Q931" s="39"/>
      <c r="R931" s="39"/>
      <c r="S931" s="39"/>
      <c r="T931" s="39"/>
      <c r="U931" s="39"/>
      <c r="V931" s="39"/>
      <c r="W931" s="92"/>
    </row>
    <row r="932" spans="1:23" s="79" customFormat="1" ht="25.5" x14ac:dyDescent="0.2">
      <c r="A932" s="1" t="s">
        <v>4221</v>
      </c>
      <c r="B932" s="2" t="s">
        <v>38</v>
      </c>
      <c r="C932" s="2" t="s">
        <v>145</v>
      </c>
      <c r="D932" s="2" t="s">
        <v>146</v>
      </c>
      <c r="E932" s="2">
        <v>2023</v>
      </c>
      <c r="F932" s="2" t="s">
        <v>211</v>
      </c>
      <c r="G932" s="2" t="s">
        <v>3095</v>
      </c>
      <c r="H932" s="2" t="s">
        <v>3092</v>
      </c>
      <c r="I932" s="1" t="s">
        <v>14</v>
      </c>
      <c r="J932" s="1" t="s">
        <v>5403</v>
      </c>
      <c r="K932" s="17"/>
      <c r="L932" s="80">
        <v>0.253</v>
      </c>
      <c r="M932" s="15"/>
      <c r="N932" s="15"/>
      <c r="O932" s="15"/>
      <c r="P932" s="15">
        <v>73.599999999999994</v>
      </c>
      <c r="Q932" s="15"/>
      <c r="R932" s="15"/>
      <c r="S932" s="15"/>
      <c r="T932" s="15"/>
      <c r="U932" s="15"/>
      <c r="V932" s="15"/>
      <c r="W932" s="92"/>
    </row>
    <row r="933" spans="1:23" s="79" customFormat="1" ht="25.5" x14ac:dyDescent="0.2">
      <c r="A933" s="1" t="s">
        <v>4221</v>
      </c>
      <c r="B933" s="2" t="s">
        <v>38</v>
      </c>
      <c r="C933" s="2" t="s">
        <v>145</v>
      </c>
      <c r="D933" s="2" t="s">
        <v>146</v>
      </c>
      <c r="E933" s="2">
        <v>2023</v>
      </c>
      <c r="F933" s="2" t="s">
        <v>221</v>
      </c>
      <c r="G933" s="2" t="s">
        <v>3095</v>
      </c>
      <c r="H933" s="2" t="s">
        <v>3092</v>
      </c>
      <c r="I933" s="1" t="s">
        <v>14</v>
      </c>
      <c r="J933" s="1" t="s">
        <v>5404</v>
      </c>
      <c r="K933" s="17"/>
      <c r="L933" s="54">
        <v>0.27</v>
      </c>
      <c r="M933" s="39"/>
      <c r="N933" s="39"/>
      <c r="O933" s="39"/>
      <c r="P933" s="39">
        <v>190.3</v>
      </c>
      <c r="Q933" s="39"/>
      <c r="R933" s="39"/>
      <c r="S933" s="39"/>
      <c r="T933" s="39"/>
      <c r="U933" s="39"/>
      <c r="V933" s="39"/>
      <c r="W933" s="92"/>
    </row>
    <row r="934" spans="1:23" s="79" customFormat="1" ht="25.5" x14ac:dyDescent="0.2">
      <c r="A934" s="1" t="s">
        <v>4221</v>
      </c>
      <c r="B934" s="2" t="s">
        <v>38</v>
      </c>
      <c r="C934" s="2" t="s">
        <v>145</v>
      </c>
      <c r="D934" s="2" t="s">
        <v>146</v>
      </c>
      <c r="E934" s="2">
        <v>2023</v>
      </c>
      <c r="F934" s="2" t="s">
        <v>256</v>
      </c>
      <c r="G934" s="2" t="s">
        <v>3095</v>
      </c>
      <c r="H934" s="2" t="s">
        <v>3092</v>
      </c>
      <c r="I934" s="1" t="s">
        <v>14</v>
      </c>
      <c r="J934" s="1" t="s">
        <v>5405</v>
      </c>
      <c r="K934" s="17"/>
      <c r="L934" s="54">
        <v>0.26500000000000001</v>
      </c>
      <c r="M934" s="39"/>
      <c r="N934" s="39"/>
      <c r="O934" s="39"/>
      <c r="P934" s="39">
        <v>92.4</v>
      </c>
      <c r="Q934" s="39"/>
      <c r="R934" s="39"/>
      <c r="S934" s="39"/>
      <c r="T934" s="39"/>
      <c r="U934" s="39"/>
      <c r="V934" s="39"/>
      <c r="W934" s="92"/>
    </row>
    <row r="935" spans="1:23" s="79" customFormat="1" ht="25.5" x14ac:dyDescent="0.2">
      <c r="A935" s="1" t="s">
        <v>4221</v>
      </c>
      <c r="B935" s="2" t="s">
        <v>38</v>
      </c>
      <c r="C935" s="2" t="s">
        <v>145</v>
      </c>
      <c r="D935" s="2" t="s">
        <v>146</v>
      </c>
      <c r="E935" s="2">
        <v>2023</v>
      </c>
      <c r="F935" s="2" t="s">
        <v>276</v>
      </c>
      <c r="G935" s="2" t="s">
        <v>3095</v>
      </c>
      <c r="H935" s="2" t="s">
        <v>3092</v>
      </c>
      <c r="I935" s="1" t="s">
        <v>14</v>
      </c>
      <c r="J935" s="1" t="s">
        <v>5406</v>
      </c>
      <c r="K935" s="17"/>
      <c r="L935" s="54">
        <v>0.214</v>
      </c>
      <c r="M935" s="39"/>
      <c r="N935" s="39"/>
      <c r="O935" s="39"/>
      <c r="P935" s="39">
        <v>219.4</v>
      </c>
      <c r="Q935" s="39"/>
      <c r="R935" s="39"/>
      <c r="S935" s="39"/>
      <c r="T935" s="39"/>
      <c r="U935" s="39"/>
      <c r="V935" s="39"/>
      <c r="W935" s="92"/>
    </row>
    <row r="936" spans="1:23" s="79" customFormat="1" ht="25.5" x14ac:dyDescent="0.2">
      <c r="A936" s="1" t="s">
        <v>4221</v>
      </c>
      <c r="B936" s="2" t="s">
        <v>38</v>
      </c>
      <c r="C936" s="2" t="s">
        <v>145</v>
      </c>
      <c r="D936" s="2" t="s">
        <v>146</v>
      </c>
      <c r="E936" s="2">
        <v>2023</v>
      </c>
      <c r="F936" s="2" t="s">
        <v>291</v>
      </c>
      <c r="G936" s="2" t="s">
        <v>3095</v>
      </c>
      <c r="H936" s="2" t="s">
        <v>3092</v>
      </c>
      <c r="I936" s="1" t="s">
        <v>14</v>
      </c>
      <c r="J936" s="1" t="s">
        <v>5407</v>
      </c>
      <c r="K936" s="17"/>
      <c r="L936" s="54">
        <v>0.21099999999999999</v>
      </c>
      <c r="M936" s="39"/>
      <c r="N936" s="39"/>
      <c r="O936" s="39"/>
      <c r="P936" s="39">
        <v>227.6</v>
      </c>
      <c r="Q936" s="39"/>
      <c r="R936" s="39"/>
      <c r="S936" s="39"/>
      <c r="T936" s="39"/>
      <c r="U936" s="39"/>
      <c r="V936" s="39"/>
      <c r="W936" s="92"/>
    </row>
    <row r="937" spans="1:23" s="79" customFormat="1" ht="25.5" x14ac:dyDescent="0.2">
      <c r="A937" s="1" t="s">
        <v>4221</v>
      </c>
      <c r="B937" s="2" t="s">
        <v>38</v>
      </c>
      <c r="C937" s="2" t="s">
        <v>145</v>
      </c>
      <c r="D937" s="2" t="s">
        <v>146</v>
      </c>
      <c r="E937" s="2">
        <v>2023</v>
      </c>
      <c r="F937" s="2" t="s">
        <v>311</v>
      </c>
      <c r="G937" s="2" t="s">
        <v>3095</v>
      </c>
      <c r="H937" s="2" t="s">
        <v>3092</v>
      </c>
      <c r="I937" s="1" t="s">
        <v>14</v>
      </c>
      <c r="J937" s="1" t="s">
        <v>5408</v>
      </c>
      <c r="K937" s="17"/>
      <c r="L937" s="54">
        <v>0.24099999999999999</v>
      </c>
      <c r="M937" s="39"/>
      <c r="N937" s="39"/>
      <c r="O937" s="39"/>
      <c r="P937" s="39">
        <v>207.8</v>
      </c>
      <c r="Q937" s="39"/>
      <c r="R937" s="39"/>
      <c r="S937" s="39"/>
      <c r="T937" s="39"/>
      <c r="U937" s="39"/>
      <c r="V937" s="39"/>
      <c r="W937" s="92"/>
    </row>
    <row r="938" spans="1:23" s="79" customFormat="1" ht="25.5" x14ac:dyDescent="0.2">
      <c r="A938" s="1" t="s">
        <v>4221</v>
      </c>
      <c r="B938" s="2" t="s">
        <v>38</v>
      </c>
      <c r="C938" s="2" t="s">
        <v>145</v>
      </c>
      <c r="D938" s="2" t="s">
        <v>146</v>
      </c>
      <c r="E938" s="2">
        <v>2023</v>
      </c>
      <c r="F938" s="2" t="s">
        <v>337</v>
      </c>
      <c r="G938" s="2" t="s">
        <v>3095</v>
      </c>
      <c r="H938" s="2" t="s">
        <v>3092</v>
      </c>
      <c r="I938" s="1" t="s">
        <v>14</v>
      </c>
      <c r="J938" s="1" t="s">
        <v>5409</v>
      </c>
      <c r="K938" s="17"/>
      <c r="L938" s="54">
        <v>0.26100000000000001</v>
      </c>
      <c r="M938" s="39"/>
      <c r="N938" s="39"/>
      <c r="O938" s="39"/>
      <c r="P938" s="39">
        <v>199.6</v>
      </c>
      <c r="Q938" s="39"/>
      <c r="R938" s="39"/>
      <c r="S938" s="39"/>
      <c r="T938" s="39"/>
      <c r="U938" s="39"/>
      <c r="V938" s="39"/>
      <c r="W938" s="92"/>
    </row>
    <row r="939" spans="1:23" s="79" customFormat="1" ht="25.5" x14ac:dyDescent="0.2">
      <c r="A939" s="1" t="s">
        <v>4221</v>
      </c>
      <c r="B939" s="2" t="s">
        <v>38</v>
      </c>
      <c r="C939" s="2" t="s">
        <v>145</v>
      </c>
      <c r="D939" s="2" t="s">
        <v>146</v>
      </c>
      <c r="E939" s="2">
        <v>2023</v>
      </c>
      <c r="F939" s="2" t="s">
        <v>364</v>
      </c>
      <c r="G939" s="2" t="s">
        <v>3095</v>
      </c>
      <c r="H939" s="2" t="s">
        <v>3092</v>
      </c>
      <c r="I939" s="1" t="s">
        <v>14</v>
      </c>
      <c r="J939" s="1" t="s">
        <v>5410</v>
      </c>
      <c r="K939" s="17"/>
      <c r="L939" s="54">
        <v>0.28399999999999997</v>
      </c>
      <c r="M939" s="39"/>
      <c r="N939" s="39"/>
      <c r="O939" s="39"/>
      <c r="P939" s="39">
        <v>200.8</v>
      </c>
      <c r="Q939" s="39"/>
      <c r="R939" s="39"/>
      <c r="S939" s="39"/>
      <c r="T939" s="39"/>
      <c r="U939" s="39"/>
      <c r="V939" s="39"/>
      <c r="W939" s="92"/>
    </row>
    <row r="940" spans="1:23" s="79" customFormat="1" ht="25.5" x14ac:dyDescent="0.2">
      <c r="A940" s="1" t="s">
        <v>4221</v>
      </c>
      <c r="B940" s="2" t="s">
        <v>38</v>
      </c>
      <c r="C940" s="2" t="s">
        <v>145</v>
      </c>
      <c r="D940" s="2" t="s">
        <v>146</v>
      </c>
      <c r="E940" s="2">
        <v>2023</v>
      </c>
      <c r="F940" s="2" t="s">
        <v>388</v>
      </c>
      <c r="G940" s="2" t="s">
        <v>3095</v>
      </c>
      <c r="H940" s="2" t="s">
        <v>3092</v>
      </c>
      <c r="I940" s="1" t="s">
        <v>14</v>
      </c>
      <c r="J940" s="1" t="s">
        <v>5411</v>
      </c>
      <c r="K940" s="17"/>
      <c r="L940" s="54">
        <v>0.192</v>
      </c>
      <c r="M940" s="39"/>
      <c r="N940" s="39"/>
      <c r="O940" s="39"/>
      <c r="P940" s="39">
        <v>129.4</v>
      </c>
      <c r="Q940" s="39"/>
      <c r="R940" s="39"/>
      <c r="S940" s="39"/>
      <c r="T940" s="39"/>
      <c r="U940" s="39"/>
      <c r="V940" s="39"/>
      <c r="W940" s="92"/>
    </row>
    <row r="941" spans="1:23" s="79" customFormat="1" ht="38.25" x14ac:dyDescent="0.2">
      <c r="A941" s="1" t="s">
        <v>109</v>
      </c>
      <c r="B941" s="2" t="s">
        <v>48</v>
      </c>
      <c r="C941" s="2" t="s">
        <v>110</v>
      </c>
      <c r="D941" s="2" t="s">
        <v>111</v>
      </c>
      <c r="E941" s="2">
        <v>2023</v>
      </c>
      <c r="F941" s="2" t="s">
        <v>13</v>
      </c>
      <c r="G941" s="2" t="s">
        <v>3095</v>
      </c>
      <c r="H941" s="2" t="s">
        <v>3092</v>
      </c>
      <c r="I941" s="1" t="s">
        <v>14</v>
      </c>
      <c r="J941" s="1" t="s">
        <v>5412</v>
      </c>
      <c r="K941" s="17"/>
      <c r="L941" s="54">
        <v>0.14899999999999999</v>
      </c>
      <c r="M941" s="39">
        <v>238.5</v>
      </c>
      <c r="N941" s="39"/>
      <c r="O941" s="39"/>
      <c r="P941" s="39"/>
      <c r="Q941" s="39"/>
      <c r="R941" s="39"/>
      <c r="S941" s="39"/>
      <c r="T941" s="39"/>
      <c r="U941" s="39"/>
      <c r="V941" s="39"/>
      <c r="W941" s="92" t="s">
        <v>1737</v>
      </c>
    </row>
    <row r="942" spans="1:23" s="79" customFormat="1" ht="38.25" x14ac:dyDescent="0.2">
      <c r="A942" s="1" t="s">
        <v>109</v>
      </c>
      <c r="B942" s="2" t="s">
        <v>48</v>
      </c>
      <c r="C942" s="2" t="s">
        <v>110</v>
      </c>
      <c r="D942" s="2" t="s">
        <v>111</v>
      </c>
      <c r="E942" s="2">
        <v>2023</v>
      </c>
      <c r="F942" s="2" t="s">
        <v>188</v>
      </c>
      <c r="G942" s="2" t="s">
        <v>3095</v>
      </c>
      <c r="H942" s="2" t="s">
        <v>3092</v>
      </c>
      <c r="I942" s="1" t="s">
        <v>14</v>
      </c>
      <c r="J942" s="1" t="s">
        <v>5413</v>
      </c>
      <c r="K942" s="17"/>
      <c r="L942" s="54">
        <v>0.14899999999999999</v>
      </c>
      <c r="M942" s="39">
        <v>215.8</v>
      </c>
      <c r="N942" s="39"/>
      <c r="O942" s="39"/>
      <c r="P942" s="39"/>
      <c r="Q942" s="39"/>
      <c r="R942" s="39"/>
      <c r="S942" s="39"/>
      <c r="T942" s="39"/>
      <c r="U942" s="39"/>
      <c r="V942" s="39"/>
      <c r="W942" s="92" t="s">
        <v>1737</v>
      </c>
    </row>
    <row r="943" spans="1:23" s="79" customFormat="1" ht="38.25" x14ac:dyDescent="0.2">
      <c r="A943" s="1" t="s">
        <v>109</v>
      </c>
      <c r="B943" s="2" t="s">
        <v>48</v>
      </c>
      <c r="C943" s="2" t="s">
        <v>110</v>
      </c>
      <c r="D943" s="2" t="s">
        <v>111</v>
      </c>
      <c r="E943" s="2">
        <v>2023</v>
      </c>
      <c r="F943" s="2" t="s">
        <v>203</v>
      </c>
      <c r="G943" s="2" t="s">
        <v>3095</v>
      </c>
      <c r="H943" s="2" t="s">
        <v>3092</v>
      </c>
      <c r="I943" s="1" t="s">
        <v>14</v>
      </c>
      <c r="J943" s="1" t="s">
        <v>5414</v>
      </c>
      <c r="K943" s="17"/>
      <c r="L943" s="54">
        <v>0.153</v>
      </c>
      <c r="M943" s="39">
        <v>254.3</v>
      </c>
      <c r="N943" s="39"/>
      <c r="O943" s="39"/>
      <c r="P943" s="39"/>
      <c r="Q943" s="39"/>
      <c r="R943" s="39"/>
      <c r="S943" s="39"/>
      <c r="T943" s="39"/>
      <c r="U943" s="39"/>
      <c r="V943" s="39"/>
      <c r="W943" s="92" t="s">
        <v>1737</v>
      </c>
    </row>
    <row r="944" spans="1:23" s="79" customFormat="1" ht="38.25" x14ac:dyDescent="0.2">
      <c r="A944" s="1" t="s">
        <v>109</v>
      </c>
      <c r="B944" s="2" t="s">
        <v>48</v>
      </c>
      <c r="C944" s="2" t="s">
        <v>110</v>
      </c>
      <c r="D944" s="2" t="s">
        <v>111</v>
      </c>
      <c r="E944" s="2">
        <v>2023</v>
      </c>
      <c r="F944" s="2" t="s">
        <v>211</v>
      </c>
      <c r="G944" s="2" t="s">
        <v>3095</v>
      </c>
      <c r="H944" s="2" t="s">
        <v>3092</v>
      </c>
      <c r="I944" s="1" t="s">
        <v>14</v>
      </c>
      <c r="J944" s="1" t="s">
        <v>5415</v>
      </c>
      <c r="K944" s="17"/>
      <c r="L944" s="54">
        <v>0.16830000000000001</v>
      </c>
      <c r="M944" s="39">
        <v>205.8</v>
      </c>
      <c r="N944" s="39"/>
      <c r="O944" s="39"/>
      <c r="P944" s="39"/>
      <c r="Q944" s="39"/>
      <c r="R944" s="39"/>
      <c r="S944" s="39"/>
      <c r="T944" s="39"/>
      <c r="U944" s="39"/>
      <c r="V944" s="39"/>
      <c r="W944" s="92" t="s">
        <v>1737</v>
      </c>
    </row>
    <row r="945" spans="1:24" s="79" customFormat="1" ht="38.25" x14ac:dyDescent="0.2">
      <c r="A945" s="1" t="s">
        <v>109</v>
      </c>
      <c r="B945" s="2" t="s">
        <v>48</v>
      </c>
      <c r="C945" s="2" t="s">
        <v>110</v>
      </c>
      <c r="D945" s="2" t="s">
        <v>111</v>
      </c>
      <c r="E945" s="2">
        <v>2023</v>
      </c>
      <c r="F945" s="2" t="s">
        <v>221</v>
      </c>
      <c r="G945" s="2" t="s">
        <v>3095</v>
      </c>
      <c r="H945" s="2" t="s">
        <v>3092</v>
      </c>
      <c r="I945" s="1" t="s">
        <v>14</v>
      </c>
      <c r="J945" s="1" t="s">
        <v>5416</v>
      </c>
      <c r="K945" s="17"/>
      <c r="L945" s="54">
        <v>0.16700000000000001</v>
      </c>
      <c r="M945" s="39">
        <v>300.5</v>
      </c>
      <c r="N945" s="39"/>
      <c r="O945" s="39"/>
      <c r="P945" s="39"/>
      <c r="Q945" s="39"/>
      <c r="R945" s="39"/>
      <c r="S945" s="39"/>
      <c r="T945" s="39"/>
      <c r="U945" s="39"/>
      <c r="V945" s="39"/>
      <c r="W945" s="92" t="s">
        <v>1737</v>
      </c>
    </row>
    <row r="946" spans="1:24" s="79" customFormat="1" ht="38.25" x14ac:dyDescent="0.2">
      <c r="A946" s="1" t="s">
        <v>109</v>
      </c>
      <c r="B946" s="2" t="s">
        <v>48</v>
      </c>
      <c r="C946" s="2" t="s">
        <v>110</v>
      </c>
      <c r="D946" s="2" t="s">
        <v>111</v>
      </c>
      <c r="E946" s="2">
        <v>2023</v>
      </c>
      <c r="F946" s="2" t="s">
        <v>256</v>
      </c>
      <c r="G946" s="2" t="s">
        <v>3095</v>
      </c>
      <c r="H946" s="2" t="s">
        <v>3092</v>
      </c>
      <c r="I946" s="1" t="s">
        <v>14</v>
      </c>
      <c r="J946" s="1" t="s">
        <v>5417</v>
      </c>
      <c r="K946" s="17"/>
      <c r="L946" s="80">
        <v>0.16700000000000001</v>
      </c>
      <c r="M946" s="15">
        <v>195.3</v>
      </c>
      <c r="N946" s="15"/>
      <c r="O946" s="15"/>
      <c r="P946" s="15"/>
      <c r="Q946" s="15"/>
      <c r="R946" s="15"/>
      <c r="S946" s="15"/>
      <c r="T946" s="15"/>
      <c r="U946" s="15"/>
      <c r="V946" s="15"/>
      <c r="W946" s="92" t="s">
        <v>1737</v>
      </c>
    </row>
    <row r="947" spans="1:24" s="79" customFormat="1" ht="38.25" x14ac:dyDescent="0.2">
      <c r="A947" s="1" t="s">
        <v>109</v>
      </c>
      <c r="B947" s="2" t="s">
        <v>48</v>
      </c>
      <c r="C947" s="2" t="s">
        <v>110</v>
      </c>
      <c r="D947" s="2" t="s">
        <v>111</v>
      </c>
      <c r="E947" s="2">
        <v>2023</v>
      </c>
      <c r="F947" s="2" t="s">
        <v>276</v>
      </c>
      <c r="G947" s="2" t="s">
        <v>3095</v>
      </c>
      <c r="H947" s="2" t="s">
        <v>3092</v>
      </c>
      <c r="I947" s="1" t="s">
        <v>14</v>
      </c>
      <c r="J947" s="1" t="s">
        <v>5418</v>
      </c>
      <c r="K947" s="17"/>
      <c r="L947" s="54">
        <v>0.16200000000000001</v>
      </c>
      <c r="M947" s="39">
        <v>263.39999999999998</v>
      </c>
      <c r="N947" s="39"/>
      <c r="O947" s="39"/>
      <c r="P947" s="39"/>
      <c r="Q947" s="39"/>
      <c r="R947" s="39"/>
      <c r="S947" s="39"/>
      <c r="T947" s="39"/>
      <c r="U947" s="39"/>
      <c r="V947" s="39"/>
      <c r="W947" s="92" t="s">
        <v>1737</v>
      </c>
    </row>
    <row r="948" spans="1:24" s="79" customFormat="1" ht="38.25" x14ac:dyDescent="0.2">
      <c r="A948" s="1" t="s">
        <v>109</v>
      </c>
      <c r="B948" s="2" t="s">
        <v>48</v>
      </c>
      <c r="C948" s="2" t="s">
        <v>110</v>
      </c>
      <c r="D948" s="2" t="s">
        <v>111</v>
      </c>
      <c r="E948" s="2">
        <v>2023</v>
      </c>
      <c r="F948" s="2" t="s">
        <v>291</v>
      </c>
      <c r="G948" s="2" t="s">
        <v>3095</v>
      </c>
      <c r="H948" s="2" t="s">
        <v>3092</v>
      </c>
      <c r="I948" s="1" t="s">
        <v>14</v>
      </c>
      <c r="J948" s="1" t="s">
        <v>5419</v>
      </c>
      <c r="K948" s="17"/>
      <c r="L948" s="54">
        <v>0.16300000000000001</v>
      </c>
      <c r="M948" s="39">
        <v>208.4</v>
      </c>
      <c r="N948" s="39"/>
      <c r="O948" s="39"/>
      <c r="P948" s="39"/>
      <c r="Q948" s="39"/>
      <c r="R948" s="39"/>
      <c r="S948" s="39"/>
      <c r="T948" s="39"/>
      <c r="U948" s="39"/>
      <c r="V948" s="39"/>
      <c r="W948" s="92" t="s">
        <v>1737</v>
      </c>
    </row>
    <row r="949" spans="1:24" s="79" customFormat="1" ht="63.75" x14ac:dyDescent="0.2">
      <c r="A949" s="1" t="s">
        <v>109</v>
      </c>
      <c r="B949" s="2" t="s">
        <v>48</v>
      </c>
      <c r="C949" s="2" t="s">
        <v>110</v>
      </c>
      <c r="D949" s="2" t="s">
        <v>111</v>
      </c>
      <c r="E949" s="2">
        <v>2023</v>
      </c>
      <c r="F949" s="2" t="s">
        <v>311</v>
      </c>
      <c r="G949" s="2" t="s">
        <v>3095</v>
      </c>
      <c r="H949" s="2" t="s">
        <v>3092</v>
      </c>
      <c r="I949" s="1" t="s">
        <v>14</v>
      </c>
      <c r="J949" s="1" t="s">
        <v>5420</v>
      </c>
      <c r="K949" s="17"/>
      <c r="L949" s="54">
        <v>0.158</v>
      </c>
      <c r="M949" s="39">
        <v>16.7</v>
      </c>
      <c r="N949" s="39"/>
      <c r="O949" s="39"/>
      <c r="P949" s="39">
        <v>272.3</v>
      </c>
      <c r="Q949" s="39"/>
      <c r="R949" s="39"/>
      <c r="S949" s="39"/>
      <c r="T949" s="39"/>
      <c r="U949" s="39"/>
      <c r="V949" s="39"/>
      <c r="W949" s="92" t="s">
        <v>1737</v>
      </c>
    </row>
    <row r="950" spans="1:24" s="79" customFormat="1" ht="38.25" x14ac:dyDescent="0.2">
      <c r="A950" s="1" t="s">
        <v>109</v>
      </c>
      <c r="B950" s="2" t="s">
        <v>48</v>
      </c>
      <c r="C950" s="2" t="s">
        <v>110</v>
      </c>
      <c r="D950" s="2" t="s">
        <v>111</v>
      </c>
      <c r="E950" s="2">
        <v>2023</v>
      </c>
      <c r="F950" s="2" t="s">
        <v>337</v>
      </c>
      <c r="G950" s="2" t="s">
        <v>3095</v>
      </c>
      <c r="H950" s="2" t="s">
        <v>3092</v>
      </c>
      <c r="I950" s="1" t="s">
        <v>14</v>
      </c>
      <c r="J950" s="1" t="s">
        <v>5421</v>
      </c>
      <c r="K950" s="17"/>
      <c r="L950" s="54">
        <v>0.16700000000000001</v>
      </c>
      <c r="M950" s="39"/>
      <c r="N950" s="39"/>
      <c r="O950" s="39"/>
      <c r="P950" s="39">
        <v>306.3</v>
      </c>
      <c r="Q950" s="39"/>
      <c r="R950" s="39"/>
      <c r="S950" s="39"/>
      <c r="T950" s="39"/>
      <c r="U950" s="39"/>
      <c r="V950" s="39"/>
      <c r="W950" s="92" t="s">
        <v>1737</v>
      </c>
    </row>
    <row r="951" spans="1:24" s="79" customFormat="1" ht="51" x14ac:dyDescent="0.2">
      <c r="A951" s="1" t="s">
        <v>109</v>
      </c>
      <c r="B951" s="2" t="s">
        <v>48</v>
      </c>
      <c r="C951" s="2" t="s">
        <v>110</v>
      </c>
      <c r="D951" s="2" t="s">
        <v>111</v>
      </c>
      <c r="E951" s="2">
        <v>2023</v>
      </c>
      <c r="F951" s="2" t="s">
        <v>364</v>
      </c>
      <c r="G951" s="2" t="s">
        <v>3095</v>
      </c>
      <c r="H951" s="2" t="s">
        <v>3092</v>
      </c>
      <c r="I951" s="1" t="s">
        <v>14</v>
      </c>
      <c r="J951" s="1" t="s">
        <v>5422</v>
      </c>
      <c r="K951" s="17"/>
      <c r="L951" s="54">
        <v>0.159</v>
      </c>
      <c r="M951" s="39">
        <v>194.4</v>
      </c>
      <c r="N951" s="39"/>
      <c r="O951" s="39"/>
      <c r="P951" s="39">
        <v>59.4</v>
      </c>
      <c r="Q951" s="39"/>
      <c r="R951" s="39"/>
      <c r="S951" s="39"/>
      <c r="T951" s="39"/>
      <c r="U951" s="39"/>
      <c r="V951" s="39"/>
      <c r="W951" s="92" t="s">
        <v>1737</v>
      </c>
    </row>
    <row r="952" spans="1:24" s="79" customFormat="1" ht="38.25" x14ac:dyDescent="0.2">
      <c r="A952" s="1" t="s">
        <v>109</v>
      </c>
      <c r="B952" s="2" t="s">
        <v>48</v>
      </c>
      <c r="C952" s="2" t="s">
        <v>110</v>
      </c>
      <c r="D952" s="2" t="s">
        <v>111</v>
      </c>
      <c r="E952" s="2">
        <v>2023</v>
      </c>
      <c r="F952" s="2" t="s">
        <v>388</v>
      </c>
      <c r="G952" s="2" t="s">
        <v>3095</v>
      </c>
      <c r="H952" s="2" t="s">
        <v>3092</v>
      </c>
      <c r="I952" s="1" t="s">
        <v>14</v>
      </c>
      <c r="J952" s="1" t="s">
        <v>5423</v>
      </c>
      <c r="K952" s="17"/>
      <c r="L952" s="53">
        <v>0.151</v>
      </c>
      <c r="M952" s="39">
        <v>214.3</v>
      </c>
      <c r="N952" s="39"/>
      <c r="O952" s="39"/>
      <c r="P952" s="39"/>
      <c r="Q952" s="59"/>
      <c r="R952" s="59"/>
      <c r="S952" s="59"/>
      <c r="T952" s="59"/>
      <c r="U952" s="59"/>
      <c r="V952" s="59"/>
      <c r="W952" s="92" t="s">
        <v>1737</v>
      </c>
      <c r="X952"/>
    </row>
    <row r="953" spans="1:24" s="79" customFormat="1" ht="38.25" x14ac:dyDescent="0.2">
      <c r="A953" s="1" t="s">
        <v>269</v>
      </c>
      <c r="B953" s="2" t="s">
        <v>213</v>
      </c>
      <c r="C953" s="2" t="s">
        <v>110</v>
      </c>
      <c r="D953" s="2" t="s">
        <v>111</v>
      </c>
      <c r="E953" s="2">
        <v>2023</v>
      </c>
      <c r="F953" s="2" t="s">
        <v>188</v>
      </c>
      <c r="G953" s="2" t="s">
        <v>3092</v>
      </c>
      <c r="H953" s="2" t="s">
        <v>3092</v>
      </c>
      <c r="I953" s="1" t="s">
        <v>5424</v>
      </c>
      <c r="J953" s="1" t="s">
        <v>5425</v>
      </c>
      <c r="K953" s="17"/>
      <c r="L953" s="54"/>
      <c r="M953" s="39"/>
      <c r="N953" s="39"/>
      <c r="O953" s="39"/>
      <c r="P953" s="39"/>
      <c r="Q953" s="39"/>
      <c r="R953" s="39"/>
      <c r="S953" s="39"/>
      <c r="T953" s="39"/>
      <c r="U953" s="39"/>
      <c r="V953" s="39"/>
      <c r="W953" s="92" t="s">
        <v>5353</v>
      </c>
    </row>
    <row r="954" spans="1:24" s="79" customFormat="1" ht="38.25" x14ac:dyDescent="0.2">
      <c r="A954" s="1" t="s">
        <v>269</v>
      </c>
      <c r="B954" s="2" t="s">
        <v>213</v>
      </c>
      <c r="C954" s="2" t="s">
        <v>110</v>
      </c>
      <c r="D954" s="2" t="s">
        <v>111</v>
      </c>
      <c r="E954" s="2">
        <v>2023</v>
      </c>
      <c r="F954" s="2" t="s">
        <v>211</v>
      </c>
      <c r="G954" s="2" t="s">
        <v>3092</v>
      </c>
      <c r="H954" s="2" t="s">
        <v>3092</v>
      </c>
      <c r="I954" s="1" t="s">
        <v>5426</v>
      </c>
      <c r="J954" s="1" t="s">
        <v>5427</v>
      </c>
      <c r="K954" s="17"/>
      <c r="L954" s="54"/>
      <c r="M954" s="39"/>
      <c r="N954" s="39"/>
      <c r="O954" s="39"/>
      <c r="P954" s="39"/>
      <c r="Q954" s="39"/>
      <c r="R954" s="39"/>
      <c r="S954" s="39"/>
      <c r="T954" s="39"/>
      <c r="U954" s="39"/>
      <c r="V954" s="39"/>
      <c r="W954" s="92" t="s">
        <v>5428</v>
      </c>
    </row>
    <row r="955" spans="1:24" s="79" customFormat="1" ht="89.25" x14ac:dyDescent="0.2">
      <c r="A955" s="1" t="s">
        <v>269</v>
      </c>
      <c r="B955" s="2" t="s">
        <v>213</v>
      </c>
      <c r="C955" s="2" t="s">
        <v>110</v>
      </c>
      <c r="D955" s="2" t="s">
        <v>111</v>
      </c>
      <c r="E955" s="2">
        <v>2023</v>
      </c>
      <c r="F955" s="2" t="s">
        <v>256</v>
      </c>
      <c r="G955" s="2" t="s">
        <v>3092</v>
      </c>
      <c r="H955" s="2" t="s">
        <v>3092</v>
      </c>
      <c r="I955" s="1" t="s">
        <v>5429</v>
      </c>
      <c r="J955" s="1" t="s">
        <v>5430</v>
      </c>
      <c r="K955" s="17"/>
      <c r="L955" s="54"/>
      <c r="M955" s="39"/>
      <c r="N955" s="39"/>
      <c r="O955" s="39"/>
      <c r="P955" s="39"/>
      <c r="Q955" s="39"/>
      <c r="R955" s="39"/>
      <c r="S955" s="39"/>
      <c r="T955" s="39"/>
      <c r="U955" s="39"/>
      <c r="V955" s="39"/>
      <c r="W955" s="92" t="s">
        <v>5428</v>
      </c>
    </row>
    <row r="956" spans="1:24" s="79" customFormat="1" ht="38.25" x14ac:dyDescent="0.2">
      <c r="A956" s="1" t="s">
        <v>269</v>
      </c>
      <c r="B956" s="2" t="s">
        <v>213</v>
      </c>
      <c r="C956" s="2" t="s">
        <v>110</v>
      </c>
      <c r="D956" s="2" t="s">
        <v>111</v>
      </c>
      <c r="E956" s="2">
        <v>2023</v>
      </c>
      <c r="F956" s="2" t="s">
        <v>276</v>
      </c>
      <c r="G956" s="2" t="s">
        <v>3092</v>
      </c>
      <c r="H956" s="2" t="s">
        <v>3092</v>
      </c>
      <c r="I956" s="1" t="s">
        <v>5431</v>
      </c>
      <c r="J956" s="1" t="s">
        <v>5432</v>
      </c>
      <c r="K956" s="17"/>
      <c r="L956" s="54"/>
      <c r="M956" s="39"/>
      <c r="N956" s="39"/>
      <c r="O956" s="39"/>
      <c r="P956" s="39"/>
      <c r="Q956" s="39"/>
      <c r="R956" s="39"/>
      <c r="S956" s="39"/>
      <c r="T956" s="39"/>
      <c r="U956" s="39"/>
      <c r="V956" s="39"/>
      <c r="W956" s="92" t="s">
        <v>5428</v>
      </c>
    </row>
    <row r="957" spans="1:24" s="79" customFormat="1" ht="38.25" x14ac:dyDescent="0.2">
      <c r="A957" s="1" t="s">
        <v>269</v>
      </c>
      <c r="B957" s="2" t="s">
        <v>213</v>
      </c>
      <c r="C957" s="2" t="s">
        <v>110</v>
      </c>
      <c r="D957" s="2" t="s">
        <v>111</v>
      </c>
      <c r="E957" s="2">
        <v>2023</v>
      </c>
      <c r="F957" s="2" t="s">
        <v>291</v>
      </c>
      <c r="G957" s="2" t="s">
        <v>3092</v>
      </c>
      <c r="H957" s="2" t="s">
        <v>3092</v>
      </c>
      <c r="I957" s="1" t="s">
        <v>5433</v>
      </c>
      <c r="J957" s="1" t="s">
        <v>5434</v>
      </c>
      <c r="K957" s="17"/>
      <c r="L957" s="54"/>
      <c r="M957" s="39"/>
      <c r="N957" s="39"/>
      <c r="O957" s="39"/>
      <c r="P957" s="39"/>
      <c r="Q957" s="39"/>
      <c r="R957" s="39"/>
      <c r="S957" s="39"/>
      <c r="T957" s="39"/>
      <c r="U957" s="39"/>
      <c r="V957" s="39"/>
      <c r="W957" s="92" t="s">
        <v>5428</v>
      </c>
    </row>
    <row r="958" spans="1:24" s="79" customFormat="1" ht="38.25" x14ac:dyDescent="0.2">
      <c r="A958" s="1" t="s">
        <v>269</v>
      </c>
      <c r="B958" s="2" t="s">
        <v>213</v>
      </c>
      <c r="C958" s="2" t="s">
        <v>110</v>
      </c>
      <c r="D958" s="2" t="s">
        <v>111</v>
      </c>
      <c r="E958" s="2">
        <v>2023</v>
      </c>
      <c r="F958" s="2" t="s">
        <v>311</v>
      </c>
      <c r="G958" s="2" t="s">
        <v>3092</v>
      </c>
      <c r="H958" s="2" t="s">
        <v>3092</v>
      </c>
      <c r="I958" s="1" t="s">
        <v>5435</v>
      </c>
      <c r="J958" s="1" t="s">
        <v>5436</v>
      </c>
      <c r="K958" s="17"/>
      <c r="L958" s="54"/>
      <c r="M958" s="39"/>
      <c r="N958" s="39"/>
      <c r="O958" s="39"/>
      <c r="P958" s="39"/>
      <c r="Q958" s="39"/>
      <c r="R958" s="39"/>
      <c r="S958" s="39"/>
      <c r="T958" s="39"/>
      <c r="U958" s="39"/>
      <c r="V958" s="39"/>
      <c r="W958" s="92" t="s">
        <v>5428</v>
      </c>
    </row>
    <row r="959" spans="1:24" s="79" customFormat="1" ht="25.5" x14ac:dyDescent="0.2">
      <c r="A959" s="1" t="s">
        <v>269</v>
      </c>
      <c r="B959" s="2" t="s">
        <v>213</v>
      </c>
      <c r="C959" s="2" t="s">
        <v>110</v>
      </c>
      <c r="D959" s="2" t="s">
        <v>111</v>
      </c>
      <c r="E959" s="2">
        <v>2023</v>
      </c>
      <c r="F959" s="2" t="s">
        <v>337</v>
      </c>
      <c r="G959" s="2" t="s">
        <v>3092</v>
      </c>
      <c r="H959" s="2" t="s">
        <v>3092</v>
      </c>
      <c r="I959" s="1" t="s">
        <v>5437</v>
      </c>
      <c r="J959" s="1" t="s">
        <v>5438</v>
      </c>
      <c r="K959" s="17"/>
      <c r="L959" s="54"/>
      <c r="M959" s="39"/>
      <c r="N959" s="39"/>
      <c r="O959" s="39"/>
      <c r="P959" s="39"/>
      <c r="Q959" s="39"/>
      <c r="R959" s="39"/>
      <c r="S959" s="39"/>
      <c r="T959" s="39"/>
      <c r="U959" s="39"/>
      <c r="V959" s="39"/>
      <c r="W959" s="92" t="s">
        <v>5428</v>
      </c>
    </row>
    <row r="960" spans="1:24" s="79" customFormat="1" ht="38.25" x14ac:dyDescent="0.2">
      <c r="A960" s="1" t="s">
        <v>269</v>
      </c>
      <c r="B960" s="2" t="s">
        <v>213</v>
      </c>
      <c r="C960" s="2" t="s">
        <v>110</v>
      </c>
      <c r="D960" s="2" t="s">
        <v>111</v>
      </c>
      <c r="E960" s="2">
        <v>2023</v>
      </c>
      <c r="F960" s="2" t="s">
        <v>364</v>
      </c>
      <c r="G960" s="2" t="s">
        <v>3092</v>
      </c>
      <c r="H960" s="2" t="s">
        <v>3092</v>
      </c>
      <c r="I960" s="1" t="s">
        <v>5439</v>
      </c>
      <c r="J960" s="1" t="s">
        <v>5440</v>
      </c>
      <c r="K960" s="17"/>
      <c r="L960" s="54"/>
      <c r="M960" s="39"/>
      <c r="N960" s="39"/>
      <c r="O960" s="39"/>
      <c r="P960" s="39"/>
      <c r="Q960" s="39"/>
      <c r="R960" s="39"/>
      <c r="S960" s="39"/>
      <c r="T960" s="39"/>
      <c r="U960" s="39"/>
      <c r="V960" s="39"/>
      <c r="W960" s="92" t="s">
        <v>5428</v>
      </c>
    </row>
    <row r="961" spans="1:24" s="79" customFormat="1" ht="38.25" x14ac:dyDescent="0.2">
      <c r="A961" s="1" t="s">
        <v>269</v>
      </c>
      <c r="B961" s="2" t="s">
        <v>213</v>
      </c>
      <c r="C961" s="2" t="s">
        <v>110</v>
      </c>
      <c r="D961" s="2" t="s">
        <v>111</v>
      </c>
      <c r="E961" s="2">
        <v>2023</v>
      </c>
      <c r="F961" s="2" t="s">
        <v>388</v>
      </c>
      <c r="G961" s="2" t="s">
        <v>3092</v>
      </c>
      <c r="H961" s="2" t="s">
        <v>3092</v>
      </c>
      <c r="I961" s="1" t="s">
        <v>5441</v>
      </c>
      <c r="J961" s="1" t="s">
        <v>5442</v>
      </c>
      <c r="K961" s="17"/>
      <c r="L961" s="58"/>
      <c r="M961" s="59"/>
      <c r="N961" s="59"/>
      <c r="O961" s="59"/>
      <c r="P961" s="59"/>
      <c r="Q961" s="59"/>
      <c r="R961" s="59"/>
      <c r="S961" s="59"/>
      <c r="T961" s="59"/>
      <c r="U961" s="59"/>
      <c r="V961" s="59"/>
      <c r="W961" s="92" t="s">
        <v>5428</v>
      </c>
      <c r="X961"/>
    </row>
    <row r="962" spans="1:24" s="79" customFormat="1" ht="63.75" x14ac:dyDescent="0.2">
      <c r="A962" s="1" t="s">
        <v>270</v>
      </c>
      <c r="B962" s="2" t="s">
        <v>271</v>
      </c>
      <c r="C962" s="2" t="s">
        <v>110</v>
      </c>
      <c r="D962" s="2" t="s">
        <v>111</v>
      </c>
      <c r="E962" s="2">
        <v>2023</v>
      </c>
      <c r="F962" s="2" t="s">
        <v>221</v>
      </c>
      <c r="G962" s="2" t="s">
        <v>3092</v>
      </c>
      <c r="H962" s="2" t="s">
        <v>3092</v>
      </c>
      <c r="I962" s="1" t="s">
        <v>5443</v>
      </c>
      <c r="J962" s="1" t="s">
        <v>5444</v>
      </c>
      <c r="K962" s="17"/>
      <c r="L962" s="54"/>
      <c r="M962" s="39"/>
      <c r="N962" s="39"/>
      <c r="O962" s="39"/>
      <c r="P962" s="39"/>
      <c r="Q962" s="39"/>
      <c r="R962" s="39"/>
      <c r="S962" s="39"/>
      <c r="T962" s="39"/>
      <c r="U962" s="39"/>
      <c r="V962" s="39"/>
      <c r="W962" s="92" t="s">
        <v>5428</v>
      </c>
    </row>
    <row r="963" spans="1:24" s="79" customFormat="1" ht="38.25" x14ac:dyDescent="0.2">
      <c r="A963" s="1" t="s">
        <v>270</v>
      </c>
      <c r="B963" s="2" t="s">
        <v>271</v>
      </c>
      <c r="C963" s="2" t="s">
        <v>110</v>
      </c>
      <c r="D963" s="2" t="s">
        <v>111</v>
      </c>
      <c r="E963" s="2">
        <v>2023</v>
      </c>
      <c r="F963" s="2" t="s">
        <v>276</v>
      </c>
      <c r="G963" s="2" t="s">
        <v>3092</v>
      </c>
      <c r="H963" s="2" t="s">
        <v>3092</v>
      </c>
      <c r="I963" s="1" t="s">
        <v>5445</v>
      </c>
      <c r="J963" s="1" t="s">
        <v>5446</v>
      </c>
      <c r="K963" s="17"/>
      <c r="L963" s="54"/>
      <c r="M963" s="39"/>
      <c r="N963" s="39"/>
      <c r="O963" s="39"/>
      <c r="P963" s="39"/>
      <c r="Q963" s="39"/>
      <c r="R963" s="39"/>
      <c r="S963" s="39"/>
      <c r="T963" s="39"/>
      <c r="U963" s="39"/>
      <c r="V963" s="39"/>
      <c r="W963" s="92" t="s">
        <v>5428</v>
      </c>
    </row>
    <row r="964" spans="1:24" s="79" customFormat="1" ht="38.25" x14ac:dyDescent="0.2">
      <c r="A964" s="1" t="s">
        <v>270</v>
      </c>
      <c r="B964" s="2" t="s">
        <v>271</v>
      </c>
      <c r="C964" s="2" t="s">
        <v>110</v>
      </c>
      <c r="D964" s="2" t="s">
        <v>111</v>
      </c>
      <c r="E964" s="2">
        <v>2023</v>
      </c>
      <c r="F964" s="2" t="s">
        <v>311</v>
      </c>
      <c r="G964" s="2" t="s">
        <v>3092</v>
      </c>
      <c r="H964" s="2" t="s">
        <v>3092</v>
      </c>
      <c r="I964" s="1" t="s">
        <v>5447</v>
      </c>
      <c r="J964" s="1" t="s">
        <v>5448</v>
      </c>
      <c r="K964" s="17"/>
      <c r="L964" s="54"/>
      <c r="M964" s="39"/>
      <c r="N964" s="39"/>
      <c r="O964" s="39"/>
      <c r="P964" s="39"/>
      <c r="Q964" s="39"/>
      <c r="R964" s="39"/>
      <c r="S964" s="39"/>
      <c r="T964" s="39"/>
      <c r="U964" s="39"/>
      <c r="V964" s="39"/>
      <c r="W964" s="92" t="s">
        <v>5428</v>
      </c>
    </row>
    <row r="965" spans="1:24" s="79" customFormat="1" ht="51" x14ac:dyDescent="0.2">
      <c r="A965" s="1" t="s">
        <v>270</v>
      </c>
      <c r="B965" s="2" t="s">
        <v>271</v>
      </c>
      <c r="C965" s="2" t="s">
        <v>110</v>
      </c>
      <c r="D965" s="2" t="s">
        <v>111</v>
      </c>
      <c r="E965" s="2">
        <v>2023</v>
      </c>
      <c r="F965" s="2" t="s">
        <v>337</v>
      </c>
      <c r="G965" s="2" t="s">
        <v>3092</v>
      </c>
      <c r="H965" s="2" t="s">
        <v>3092</v>
      </c>
      <c r="I965" s="1" t="s">
        <v>5449</v>
      </c>
      <c r="J965" s="1" t="s">
        <v>5450</v>
      </c>
      <c r="K965" s="17"/>
      <c r="L965" s="54"/>
      <c r="M965" s="39"/>
      <c r="N965" s="39"/>
      <c r="O965" s="39"/>
      <c r="P965" s="39"/>
      <c r="Q965" s="39"/>
      <c r="R965" s="39"/>
      <c r="S965" s="39"/>
      <c r="T965" s="39"/>
      <c r="U965" s="39"/>
      <c r="V965" s="39"/>
      <c r="W965" s="92" t="s">
        <v>5428</v>
      </c>
    </row>
    <row r="966" spans="1:24" s="79" customFormat="1" ht="51" x14ac:dyDescent="0.2">
      <c r="A966" s="1" t="s">
        <v>176</v>
      </c>
      <c r="B966" s="2" t="s">
        <v>29</v>
      </c>
      <c r="C966" s="2" t="s">
        <v>177</v>
      </c>
      <c r="D966" s="2" t="s">
        <v>58</v>
      </c>
      <c r="E966" s="2">
        <v>2023</v>
      </c>
      <c r="F966" s="2" t="s">
        <v>13</v>
      </c>
      <c r="G966" s="2" t="s">
        <v>3095</v>
      </c>
      <c r="H966" s="2" t="s">
        <v>3092</v>
      </c>
      <c r="I966" s="1" t="s">
        <v>14</v>
      </c>
      <c r="J966" s="1" t="s">
        <v>5451</v>
      </c>
      <c r="K966" s="17"/>
      <c r="L966" s="54">
        <v>0.20899999999999999</v>
      </c>
      <c r="M966" s="39"/>
      <c r="N966" s="39"/>
      <c r="O966" s="39">
        <f>224.89+308.5</f>
        <v>533.39</v>
      </c>
      <c r="P966" s="39"/>
      <c r="Q966" s="39"/>
      <c r="R966" s="39"/>
      <c r="S966" s="3"/>
      <c r="T966" s="39"/>
      <c r="U966" s="39"/>
      <c r="V966" s="39"/>
      <c r="W966" s="92"/>
    </row>
    <row r="967" spans="1:24" s="79" customFormat="1" ht="51" x14ac:dyDescent="0.2">
      <c r="A967" s="1" t="s">
        <v>176</v>
      </c>
      <c r="B967" s="2" t="s">
        <v>29</v>
      </c>
      <c r="C967" s="2" t="s">
        <v>177</v>
      </c>
      <c r="D967" s="2" t="s">
        <v>58</v>
      </c>
      <c r="E967" s="2">
        <v>2023</v>
      </c>
      <c r="F967" s="2" t="s">
        <v>188</v>
      </c>
      <c r="G967" s="2" t="s">
        <v>3095</v>
      </c>
      <c r="H967" s="2" t="s">
        <v>3092</v>
      </c>
      <c r="I967" s="1" t="s">
        <v>14</v>
      </c>
      <c r="J967" s="1" t="s">
        <v>5452</v>
      </c>
      <c r="K967" s="17"/>
      <c r="L967" s="54">
        <v>0.21199999999999999</v>
      </c>
      <c r="M967" s="39"/>
      <c r="N967" s="39"/>
      <c r="O967" s="39">
        <v>502.34</v>
      </c>
      <c r="P967" s="39"/>
      <c r="Q967" s="39"/>
      <c r="R967" s="39"/>
      <c r="S967" s="39"/>
      <c r="T967" s="39"/>
      <c r="U967" s="39"/>
      <c r="V967" s="39"/>
      <c r="W967" s="92"/>
    </row>
    <row r="968" spans="1:24" s="79" customFormat="1" ht="63.75" x14ac:dyDescent="0.2">
      <c r="A968" s="1" t="s">
        <v>176</v>
      </c>
      <c r="B968" s="2" t="s">
        <v>29</v>
      </c>
      <c r="C968" s="2" t="s">
        <v>177</v>
      </c>
      <c r="D968" s="2" t="s">
        <v>58</v>
      </c>
      <c r="E968" s="2">
        <v>2023</v>
      </c>
      <c r="F968" s="2" t="s">
        <v>203</v>
      </c>
      <c r="G968" s="2" t="s">
        <v>3095</v>
      </c>
      <c r="H968" s="2" t="s">
        <v>3092</v>
      </c>
      <c r="I968" s="1" t="s">
        <v>14</v>
      </c>
      <c r="J968" s="1" t="s">
        <v>5453</v>
      </c>
      <c r="K968" s="17"/>
      <c r="L968" s="54">
        <v>0.21</v>
      </c>
      <c r="M968" s="39"/>
      <c r="N968" s="39"/>
      <c r="O968" s="39">
        <v>553.23</v>
      </c>
      <c r="P968" s="39"/>
      <c r="Q968" s="39"/>
      <c r="R968" s="39"/>
      <c r="S968" s="39"/>
      <c r="T968" s="39"/>
      <c r="U968" s="39"/>
      <c r="V968" s="39"/>
      <c r="W968" s="92"/>
    </row>
    <row r="969" spans="1:24" s="79" customFormat="1" ht="76.5" x14ac:dyDescent="0.2">
      <c r="A969" s="1" t="s">
        <v>176</v>
      </c>
      <c r="B969" s="2" t="s">
        <v>29</v>
      </c>
      <c r="C969" s="2" t="s">
        <v>177</v>
      </c>
      <c r="D969" s="2" t="s">
        <v>58</v>
      </c>
      <c r="E969" s="2">
        <v>2023</v>
      </c>
      <c r="F969" s="2" t="s">
        <v>211</v>
      </c>
      <c r="G969" s="2" t="s">
        <v>3095</v>
      </c>
      <c r="H969" s="2" t="s">
        <v>3092</v>
      </c>
      <c r="I969" s="1" t="s">
        <v>14</v>
      </c>
      <c r="J969" s="1" t="s">
        <v>5454</v>
      </c>
      <c r="K969" s="17"/>
      <c r="L969" s="54">
        <v>0.217</v>
      </c>
      <c r="M969" s="39"/>
      <c r="N969" s="39"/>
      <c r="O969" s="39">
        <v>563.29999999999995</v>
      </c>
      <c r="P969" s="39"/>
      <c r="Q969" s="39"/>
      <c r="R969" s="39"/>
      <c r="S969" s="39"/>
      <c r="T969" s="39"/>
      <c r="U969" s="39"/>
      <c r="V969" s="39"/>
      <c r="W969" s="92"/>
    </row>
    <row r="970" spans="1:24" s="79" customFormat="1" ht="102" x14ac:dyDescent="0.2">
      <c r="A970" s="1" t="s">
        <v>176</v>
      </c>
      <c r="B970" s="2" t="s">
        <v>29</v>
      </c>
      <c r="C970" s="2" t="s">
        <v>177</v>
      </c>
      <c r="D970" s="2" t="s">
        <v>58</v>
      </c>
      <c r="E970" s="2">
        <v>2023</v>
      </c>
      <c r="F970" s="2" t="s">
        <v>221</v>
      </c>
      <c r="G970" s="2" t="s">
        <v>3095</v>
      </c>
      <c r="H970" s="2" t="s">
        <v>3092</v>
      </c>
      <c r="I970" s="1" t="s">
        <v>14</v>
      </c>
      <c r="J970" s="1" t="s">
        <v>5455</v>
      </c>
      <c r="K970" s="17"/>
      <c r="L970" s="54">
        <v>0.215</v>
      </c>
      <c r="M970" s="39"/>
      <c r="N970" s="39"/>
      <c r="O970" s="39">
        <v>539.28</v>
      </c>
      <c r="P970" s="39"/>
      <c r="Q970" s="39"/>
      <c r="R970" s="39"/>
      <c r="S970" s="39"/>
      <c r="T970" s="39"/>
      <c r="U970" s="39"/>
      <c r="V970" s="39"/>
      <c r="W970" s="92"/>
    </row>
    <row r="971" spans="1:24" s="79" customFormat="1" ht="114.75" x14ac:dyDescent="0.2">
      <c r="A971" s="1" t="s">
        <v>176</v>
      </c>
      <c r="B971" s="2" t="s">
        <v>29</v>
      </c>
      <c r="C971" s="2" t="s">
        <v>177</v>
      </c>
      <c r="D971" s="2" t="s">
        <v>58</v>
      </c>
      <c r="E971" s="2">
        <v>2023</v>
      </c>
      <c r="F971" s="2" t="s">
        <v>256</v>
      </c>
      <c r="G971" s="2" t="s">
        <v>3095</v>
      </c>
      <c r="H971" s="2" t="s">
        <v>3092</v>
      </c>
      <c r="I971" s="1" t="s">
        <v>14</v>
      </c>
      <c r="J971" s="1" t="s">
        <v>5456</v>
      </c>
      <c r="K971" s="17"/>
      <c r="L971" s="54">
        <v>0.215</v>
      </c>
      <c r="M971" s="39"/>
      <c r="N971" s="39"/>
      <c r="O971" s="39">
        <v>573.1</v>
      </c>
      <c r="P971" s="39"/>
      <c r="Q971" s="39"/>
      <c r="R971" s="39"/>
      <c r="S971" s="39"/>
      <c r="T971" s="39"/>
      <c r="U971" s="39"/>
      <c r="V971" s="39"/>
      <c r="W971" s="92"/>
    </row>
    <row r="972" spans="1:24" s="79" customFormat="1" ht="114.75" x14ac:dyDescent="0.2">
      <c r="A972" s="1" t="s">
        <v>176</v>
      </c>
      <c r="B972" s="2" t="s">
        <v>29</v>
      </c>
      <c r="C972" s="2" t="s">
        <v>177</v>
      </c>
      <c r="D972" s="2" t="s">
        <v>58</v>
      </c>
      <c r="E972" s="2">
        <v>2023</v>
      </c>
      <c r="F972" s="2" t="s">
        <v>276</v>
      </c>
      <c r="G972" s="2" t="s">
        <v>3095</v>
      </c>
      <c r="H972" s="2" t="s">
        <v>3092</v>
      </c>
      <c r="I972" s="1" t="s">
        <v>14</v>
      </c>
      <c r="J972" s="1" t="s">
        <v>5457</v>
      </c>
      <c r="K972" s="17"/>
      <c r="L972" s="54">
        <v>0.217</v>
      </c>
      <c r="M972" s="39"/>
      <c r="N972" s="39"/>
      <c r="O972" s="39">
        <v>547.04999999999995</v>
      </c>
      <c r="P972" s="39"/>
      <c r="Q972" s="39"/>
      <c r="R972" s="39"/>
      <c r="S972" s="39"/>
      <c r="T972" s="39"/>
      <c r="U972" s="39"/>
      <c r="V972" s="39"/>
      <c r="W972" s="92"/>
    </row>
    <row r="973" spans="1:24" s="79" customFormat="1" ht="102" x14ac:dyDescent="0.2">
      <c r="A973" s="1" t="s">
        <v>176</v>
      </c>
      <c r="B973" s="2" t="s">
        <v>29</v>
      </c>
      <c r="C973" s="2" t="s">
        <v>177</v>
      </c>
      <c r="D973" s="2" t="s">
        <v>58</v>
      </c>
      <c r="E973" s="2">
        <v>2023</v>
      </c>
      <c r="F973" s="2" t="s">
        <v>291</v>
      </c>
      <c r="G973" s="2" t="s">
        <v>3095</v>
      </c>
      <c r="H973" s="2" t="s">
        <v>3092</v>
      </c>
      <c r="I973" s="1" t="s">
        <v>14</v>
      </c>
      <c r="J973" s="1" t="s">
        <v>5458</v>
      </c>
      <c r="K973" s="17"/>
      <c r="L973" s="54">
        <v>0.21299999999999999</v>
      </c>
      <c r="M973" s="39"/>
      <c r="N973" s="39"/>
      <c r="O973" s="39">
        <v>529.78</v>
      </c>
      <c r="P973" s="39"/>
      <c r="Q973" s="39"/>
      <c r="R973" s="39"/>
      <c r="S973" s="39"/>
      <c r="T973" s="39"/>
      <c r="U973" s="39"/>
      <c r="V973" s="39"/>
      <c r="W973" s="92"/>
    </row>
    <row r="974" spans="1:24" s="79" customFormat="1" ht="114.75" x14ac:dyDescent="0.2">
      <c r="A974" s="1" t="s">
        <v>176</v>
      </c>
      <c r="B974" s="2" t="s">
        <v>29</v>
      </c>
      <c r="C974" s="2" t="s">
        <v>177</v>
      </c>
      <c r="D974" s="2" t="s">
        <v>58</v>
      </c>
      <c r="E974" s="2">
        <v>2023</v>
      </c>
      <c r="F974" s="2" t="s">
        <v>311</v>
      </c>
      <c r="G974" s="2" t="s">
        <v>3095</v>
      </c>
      <c r="H974" s="2" t="s">
        <v>3092</v>
      </c>
      <c r="I974" s="1" t="s">
        <v>14</v>
      </c>
      <c r="J974" s="1" t="s">
        <v>5459</v>
      </c>
      <c r="K974" s="17"/>
      <c r="L974" s="54">
        <v>0.20899999999999999</v>
      </c>
      <c r="M974" s="39"/>
      <c r="N974" s="39"/>
      <c r="O974" s="39">
        <v>523.17999999999995</v>
      </c>
      <c r="P974" s="39"/>
      <c r="Q974" s="39"/>
      <c r="R974" s="39"/>
      <c r="S974" s="39"/>
      <c r="T974" s="39"/>
      <c r="U974" s="39"/>
      <c r="V974" s="39"/>
      <c r="W974" s="92"/>
    </row>
    <row r="975" spans="1:24" s="79" customFormat="1" ht="114.75" x14ac:dyDescent="0.2">
      <c r="A975" s="1" t="s">
        <v>176</v>
      </c>
      <c r="B975" s="2" t="s">
        <v>29</v>
      </c>
      <c r="C975" s="2" t="s">
        <v>177</v>
      </c>
      <c r="D975" s="2" t="s">
        <v>58</v>
      </c>
      <c r="E975" s="2">
        <v>2023</v>
      </c>
      <c r="F975" s="2" t="s">
        <v>337</v>
      </c>
      <c r="G975" s="2" t="s">
        <v>3095</v>
      </c>
      <c r="H975" s="2" t="s">
        <v>3092</v>
      </c>
      <c r="I975" s="1" t="s">
        <v>14</v>
      </c>
      <c r="J975" s="1" t="s">
        <v>5460</v>
      </c>
      <c r="K975" s="17"/>
      <c r="L975" s="54">
        <v>0.218</v>
      </c>
      <c r="M975" s="39"/>
      <c r="N975" s="39"/>
      <c r="O975" s="39">
        <v>545.47</v>
      </c>
      <c r="P975" s="39"/>
      <c r="Q975" s="39"/>
      <c r="R975" s="39"/>
      <c r="S975" s="39"/>
      <c r="T975" s="39"/>
      <c r="U975" s="39"/>
      <c r="V975" s="39"/>
      <c r="W975" s="92"/>
    </row>
    <row r="976" spans="1:24" s="79" customFormat="1" ht="89.25" x14ac:dyDescent="0.2">
      <c r="A976" s="1" t="s">
        <v>176</v>
      </c>
      <c r="B976" s="2" t="s">
        <v>29</v>
      </c>
      <c r="C976" s="2" t="s">
        <v>177</v>
      </c>
      <c r="D976" s="2" t="s">
        <v>58</v>
      </c>
      <c r="E976" s="2">
        <v>2023</v>
      </c>
      <c r="F976" s="2" t="s">
        <v>364</v>
      </c>
      <c r="G976" s="2" t="s">
        <v>3095</v>
      </c>
      <c r="H976" s="2" t="s">
        <v>3092</v>
      </c>
      <c r="I976" s="1" t="s">
        <v>14</v>
      </c>
      <c r="J976" s="1" t="s">
        <v>5461</v>
      </c>
      <c r="K976" s="17"/>
      <c r="L976" s="54">
        <v>0.20799999999999999</v>
      </c>
      <c r="M976" s="39"/>
      <c r="N976" s="39"/>
      <c r="O976" s="39">
        <v>518.79999999999995</v>
      </c>
      <c r="P976" s="39"/>
      <c r="Q976" s="39"/>
      <c r="R976" s="39"/>
      <c r="S976" s="39"/>
      <c r="T976" s="39"/>
      <c r="U976" s="39"/>
      <c r="V976" s="39"/>
      <c r="W976" s="92"/>
    </row>
    <row r="977" spans="1:24" s="79" customFormat="1" ht="89.25" x14ac:dyDescent="0.2">
      <c r="A977" s="1" t="s">
        <v>176</v>
      </c>
      <c r="B977" s="2" t="s">
        <v>29</v>
      </c>
      <c r="C977" s="2" t="s">
        <v>177</v>
      </c>
      <c r="D977" s="2" t="s">
        <v>58</v>
      </c>
      <c r="E977" s="2">
        <v>2023</v>
      </c>
      <c r="F977" s="2" t="s">
        <v>388</v>
      </c>
      <c r="G977" s="2" t="s">
        <v>3095</v>
      </c>
      <c r="H977" s="2" t="s">
        <v>3092</v>
      </c>
      <c r="I977" s="1" t="s">
        <v>14</v>
      </c>
      <c r="J977" s="1" t="s">
        <v>5462</v>
      </c>
      <c r="K977" s="17"/>
      <c r="L977" s="54">
        <v>0.20799999999999999</v>
      </c>
      <c r="M977" s="39"/>
      <c r="N977" s="39"/>
      <c r="O977" s="39">
        <v>577.08000000000004</v>
      </c>
      <c r="P977" s="39"/>
      <c r="Q977" s="39"/>
      <c r="R977" s="39"/>
      <c r="S977" s="39"/>
      <c r="T977" s="39"/>
      <c r="U977" s="39"/>
      <c r="V977" s="39"/>
      <c r="W977" s="92"/>
    </row>
    <row r="978" spans="1:24" s="79" customFormat="1" ht="178.5" x14ac:dyDescent="0.2">
      <c r="A978" s="1" t="s">
        <v>315</v>
      </c>
      <c r="B978" s="2" t="s">
        <v>196</v>
      </c>
      <c r="C978" s="2" t="s">
        <v>316</v>
      </c>
      <c r="D978" s="2" t="s">
        <v>77</v>
      </c>
      <c r="E978" s="2">
        <v>2023</v>
      </c>
      <c r="F978" s="2" t="s">
        <v>256</v>
      </c>
      <c r="G978" s="2" t="s">
        <v>3092</v>
      </c>
      <c r="H978" s="2" t="s">
        <v>3092</v>
      </c>
      <c r="I978" s="1" t="s">
        <v>5463</v>
      </c>
      <c r="J978" s="1" t="s">
        <v>5464</v>
      </c>
      <c r="K978" s="17"/>
      <c r="L978" s="54">
        <v>0.2</v>
      </c>
      <c r="M978" s="39"/>
      <c r="N978" s="39"/>
      <c r="O978" s="39">
        <v>756.47</v>
      </c>
      <c r="P978" s="39"/>
      <c r="Q978" s="39"/>
      <c r="R978" s="39"/>
      <c r="S978" s="39"/>
      <c r="T978" s="39"/>
      <c r="U978" s="39"/>
      <c r="V978" s="39"/>
      <c r="W978" s="92"/>
    </row>
    <row r="979" spans="1:24" s="79" customFormat="1" ht="51" x14ac:dyDescent="0.2">
      <c r="A979" s="1" t="s">
        <v>116</v>
      </c>
      <c r="B979" s="2" t="s">
        <v>38</v>
      </c>
      <c r="C979" s="2" t="s">
        <v>117</v>
      </c>
      <c r="D979" s="2" t="s">
        <v>118</v>
      </c>
      <c r="E979" s="2">
        <v>2023</v>
      </c>
      <c r="F979" s="2" t="s">
        <v>13</v>
      </c>
      <c r="G979" s="2" t="s">
        <v>3095</v>
      </c>
      <c r="H979" s="2" t="s">
        <v>3092</v>
      </c>
      <c r="I979" s="1" t="s">
        <v>14</v>
      </c>
      <c r="J979" s="1" t="s">
        <v>5465</v>
      </c>
      <c r="K979" s="17"/>
      <c r="L979" s="54">
        <v>0.1658</v>
      </c>
      <c r="M979" s="15">
        <f>1083.45*30%</f>
        <v>325.03500000000003</v>
      </c>
      <c r="N979" s="15">
        <f>1083.45*70%</f>
        <v>758.41499999999996</v>
      </c>
      <c r="O979" s="15"/>
      <c r="P979" s="15"/>
      <c r="Q979" s="15"/>
      <c r="R979" s="15"/>
      <c r="S979" s="15"/>
      <c r="T979" s="15"/>
      <c r="U979" s="15"/>
      <c r="V979" s="15"/>
      <c r="W979" s="92" t="s">
        <v>5466</v>
      </c>
    </row>
    <row r="980" spans="1:24" s="79" customFormat="1" ht="51" x14ac:dyDescent="0.2">
      <c r="A980" s="1" t="s">
        <v>116</v>
      </c>
      <c r="B980" s="2" t="s">
        <v>38</v>
      </c>
      <c r="C980" s="2" t="s">
        <v>117</v>
      </c>
      <c r="D980" s="2" t="s">
        <v>118</v>
      </c>
      <c r="E980" s="2">
        <v>2023</v>
      </c>
      <c r="F980" s="2" t="s">
        <v>188</v>
      </c>
      <c r="G980" s="2" t="s">
        <v>3095</v>
      </c>
      <c r="H980" s="2" t="s">
        <v>3092</v>
      </c>
      <c r="I980" s="1" t="s">
        <v>14</v>
      </c>
      <c r="J980" s="1" t="s">
        <v>5467</v>
      </c>
      <c r="K980" s="17"/>
      <c r="L980" s="54">
        <v>0.1648</v>
      </c>
      <c r="M980" s="39">
        <f>1153.18*30%</f>
        <v>345.95400000000001</v>
      </c>
      <c r="N980" s="15">
        <f>1153.18*70%</f>
        <v>807.226</v>
      </c>
      <c r="O980" s="15"/>
      <c r="P980" s="15"/>
      <c r="Q980" s="15"/>
      <c r="R980" s="15"/>
      <c r="S980" s="15"/>
      <c r="T980" s="15"/>
      <c r="U980" s="15"/>
      <c r="V980" s="15"/>
      <c r="W980" s="92" t="s">
        <v>5466</v>
      </c>
    </row>
    <row r="981" spans="1:24" s="79" customFormat="1" ht="51" x14ac:dyDescent="0.2">
      <c r="A981" s="1" t="s">
        <v>116</v>
      </c>
      <c r="B981" s="2" t="s">
        <v>38</v>
      </c>
      <c r="C981" s="2" t="s">
        <v>117</v>
      </c>
      <c r="D981" s="2" t="s">
        <v>118</v>
      </c>
      <c r="E981" s="2">
        <v>2023</v>
      </c>
      <c r="F981" s="2" t="s">
        <v>203</v>
      </c>
      <c r="G981" s="2" t="s">
        <v>3095</v>
      </c>
      <c r="H981" s="2" t="s">
        <v>3092</v>
      </c>
      <c r="I981" s="1" t="s">
        <v>14</v>
      </c>
      <c r="J981" s="1" t="s">
        <v>5468</v>
      </c>
      <c r="K981" s="17"/>
      <c r="L981" s="54">
        <v>0.18160000000000001</v>
      </c>
      <c r="M981" s="39">
        <f>1214.22*30%</f>
        <v>364.26600000000002</v>
      </c>
      <c r="N981" s="15">
        <f>1214.22*70%</f>
        <v>849.95399999999995</v>
      </c>
      <c r="O981" s="15"/>
      <c r="P981" s="15"/>
      <c r="Q981" s="15"/>
      <c r="R981" s="15"/>
      <c r="S981" s="15"/>
      <c r="T981" s="15"/>
      <c r="U981" s="15"/>
      <c r="V981" s="15"/>
      <c r="W981" s="92" t="s">
        <v>5466</v>
      </c>
    </row>
    <row r="982" spans="1:24" s="79" customFormat="1" ht="51" x14ac:dyDescent="0.2">
      <c r="A982" s="1" t="s">
        <v>116</v>
      </c>
      <c r="B982" s="2" t="s">
        <v>38</v>
      </c>
      <c r="C982" s="2" t="s">
        <v>117</v>
      </c>
      <c r="D982" s="2" t="s">
        <v>118</v>
      </c>
      <c r="E982" s="2">
        <v>2023</v>
      </c>
      <c r="F982" s="2" t="s">
        <v>211</v>
      </c>
      <c r="G982" s="2" t="s">
        <v>3095</v>
      </c>
      <c r="H982" s="2" t="s">
        <v>3092</v>
      </c>
      <c r="I982" s="1" t="s">
        <v>14</v>
      </c>
      <c r="J982" s="1" t="s">
        <v>5469</v>
      </c>
      <c r="K982" s="17"/>
      <c r="L982" s="54">
        <v>0.17219999999999999</v>
      </c>
      <c r="M982" s="39">
        <f>988.19*30%</f>
        <v>296.45699999999999</v>
      </c>
      <c r="N982" s="15">
        <f>988.19*70%</f>
        <v>691.73299999999995</v>
      </c>
      <c r="O982" s="15"/>
      <c r="P982" s="15"/>
      <c r="Q982" s="15"/>
      <c r="R982" s="15"/>
      <c r="S982" s="15"/>
      <c r="T982" s="15"/>
      <c r="U982" s="15"/>
      <c r="V982" s="15"/>
      <c r="W982" s="92" t="s">
        <v>5466</v>
      </c>
    </row>
    <row r="983" spans="1:24" s="79" customFormat="1" ht="51" x14ac:dyDescent="0.2">
      <c r="A983" s="1" t="s">
        <v>116</v>
      </c>
      <c r="B983" s="2" t="s">
        <v>38</v>
      </c>
      <c r="C983" s="2" t="s">
        <v>117</v>
      </c>
      <c r="D983" s="2" t="s">
        <v>118</v>
      </c>
      <c r="E983" s="2">
        <v>2023</v>
      </c>
      <c r="F983" s="2" t="s">
        <v>221</v>
      </c>
      <c r="G983" s="2" t="s">
        <v>3095</v>
      </c>
      <c r="H983" s="2" t="s">
        <v>3092</v>
      </c>
      <c r="I983" s="1" t="s">
        <v>14</v>
      </c>
      <c r="J983" s="1" t="s">
        <v>5470</v>
      </c>
      <c r="K983" s="17"/>
      <c r="L983" s="54">
        <v>0.16350000000000001</v>
      </c>
      <c r="M983" s="39">
        <f>1263.09*30%</f>
        <v>378.92699999999996</v>
      </c>
      <c r="N983" s="15">
        <f>1263.09*70%</f>
        <v>884.1629999999999</v>
      </c>
      <c r="O983" s="15"/>
      <c r="P983" s="15"/>
      <c r="Q983" s="15"/>
      <c r="R983" s="15"/>
      <c r="S983" s="15"/>
      <c r="T983" s="15"/>
      <c r="U983" s="15"/>
      <c r="V983" s="15"/>
      <c r="W983" s="92" t="s">
        <v>5466</v>
      </c>
    </row>
    <row r="984" spans="1:24" s="79" customFormat="1" ht="51" x14ac:dyDescent="0.2">
      <c r="A984" s="1" t="s">
        <v>116</v>
      </c>
      <c r="B984" s="2" t="s">
        <v>38</v>
      </c>
      <c r="C984" s="2" t="s">
        <v>117</v>
      </c>
      <c r="D984" s="2" t="s">
        <v>118</v>
      </c>
      <c r="E984" s="2">
        <v>2023</v>
      </c>
      <c r="F984" s="2" t="s">
        <v>256</v>
      </c>
      <c r="G984" s="2" t="s">
        <v>3095</v>
      </c>
      <c r="H984" s="2" t="s">
        <v>3092</v>
      </c>
      <c r="I984" s="1" t="s">
        <v>14</v>
      </c>
      <c r="J984" s="1" t="s">
        <v>5471</v>
      </c>
      <c r="K984" s="17"/>
      <c r="L984" s="54">
        <v>0.1706</v>
      </c>
      <c r="M984" s="39">
        <f>1224.78*30%</f>
        <v>367.43399999999997</v>
      </c>
      <c r="N984" s="15">
        <f>1224.78*70%</f>
        <v>857.34599999999989</v>
      </c>
      <c r="O984" s="15"/>
      <c r="P984" s="15"/>
      <c r="Q984" s="15"/>
      <c r="R984" s="15"/>
      <c r="S984" s="15"/>
      <c r="T984" s="15"/>
      <c r="U984" s="15"/>
      <c r="V984" s="15"/>
      <c r="W984" s="92" t="s">
        <v>5466</v>
      </c>
    </row>
    <row r="985" spans="1:24" s="79" customFormat="1" ht="51" x14ac:dyDescent="0.2">
      <c r="A985" s="1" t="s">
        <v>116</v>
      </c>
      <c r="B985" s="2" t="s">
        <v>38</v>
      </c>
      <c r="C985" s="2" t="s">
        <v>117</v>
      </c>
      <c r="D985" s="2" t="s">
        <v>118</v>
      </c>
      <c r="E985" s="2">
        <v>2023</v>
      </c>
      <c r="F985" s="2" t="s">
        <v>276</v>
      </c>
      <c r="G985" s="2" t="s">
        <v>3095</v>
      </c>
      <c r="H985" s="2" t="s">
        <v>3092</v>
      </c>
      <c r="I985" s="1" t="s">
        <v>14</v>
      </c>
      <c r="J985" s="1" t="s">
        <v>5472</v>
      </c>
      <c r="K985" s="17"/>
      <c r="L985" s="54">
        <v>0.17499999999999999</v>
      </c>
      <c r="M985" s="39">
        <f>1103.22*30%</f>
        <v>330.96600000000001</v>
      </c>
      <c r="N985" s="15">
        <f>1103.22*70%</f>
        <v>772.25400000000002</v>
      </c>
      <c r="O985" s="15"/>
      <c r="P985" s="15"/>
      <c r="Q985" s="15"/>
      <c r="R985" s="15"/>
      <c r="S985" s="15"/>
      <c r="T985" s="15"/>
      <c r="U985" s="15"/>
      <c r="V985" s="15"/>
      <c r="W985" s="92" t="s">
        <v>5466</v>
      </c>
    </row>
    <row r="986" spans="1:24" s="79" customFormat="1" ht="51" x14ac:dyDescent="0.2">
      <c r="A986" s="1" t="s">
        <v>116</v>
      </c>
      <c r="B986" s="2" t="s">
        <v>38</v>
      </c>
      <c r="C986" s="2" t="s">
        <v>117</v>
      </c>
      <c r="D986" s="2" t="s">
        <v>118</v>
      </c>
      <c r="E986" s="2">
        <v>2023</v>
      </c>
      <c r="F986" s="2" t="s">
        <v>291</v>
      </c>
      <c r="G986" s="2" t="s">
        <v>3095</v>
      </c>
      <c r="H986" s="2" t="s">
        <v>3092</v>
      </c>
      <c r="I986" s="1" t="s">
        <v>14</v>
      </c>
      <c r="J986" s="1" t="s">
        <v>5473</v>
      </c>
      <c r="K986" s="17"/>
      <c r="L986" s="54">
        <v>0.15240000000000001</v>
      </c>
      <c r="M986" s="39">
        <f>776.2*30%</f>
        <v>232.86</v>
      </c>
      <c r="N986" s="15">
        <f>776.2*70%</f>
        <v>543.34</v>
      </c>
      <c r="O986" s="15"/>
      <c r="P986" s="15"/>
      <c r="Q986" s="15"/>
      <c r="R986" s="15"/>
      <c r="S986" s="15"/>
      <c r="T986" s="15"/>
      <c r="U986" s="15"/>
      <c r="V986" s="81"/>
      <c r="W986" s="92" t="s">
        <v>5466</v>
      </c>
    </row>
    <row r="987" spans="1:24" s="79" customFormat="1" ht="51" x14ac:dyDescent="0.2">
      <c r="A987" s="1" t="s">
        <v>116</v>
      </c>
      <c r="B987" s="2" t="s">
        <v>38</v>
      </c>
      <c r="C987" s="2" t="s">
        <v>117</v>
      </c>
      <c r="D987" s="2" t="s">
        <v>118</v>
      </c>
      <c r="E987" s="2">
        <v>2023</v>
      </c>
      <c r="F987" s="2" t="s">
        <v>311</v>
      </c>
      <c r="G987" s="2" t="s">
        <v>3095</v>
      </c>
      <c r="H987" s="2" t="s">
        <v>3092</v>
      </c>
      <c r="I987" s="1" t="s">
        <v>14</v>
      </c>
      <c r="J987" s="1" t="s">
        <v>5474</v>
      </c>
      <c r="K987" s="17"/>
      <c r="L987" s="54" t="s">
        <v>1670</v>
      </c>
      <c r="M987" s="39">
        <f>869.07*30%</f>
        <v>260.721</v>
      </c>
      <c r="N987" s="15">
        <f>869.07*70%</f>
        <v>608.34900000000005</v>
      </c>
      <c r="O987" s="15"/>
      <c r="P987" s="15"/>
      <c r="Q987" s="15"/>
      <c r="R987" s="15"/>
      <c r="S987" s="15"/>
      <c r="T987" s="15"/>
      <c r="U987" s="15"/>
      <c r="V987" s="15"/>
      <c r="W987" s="92" t="s">
        <v>5466</v>
      </c>
    </row>
    <row r="988" spans="1:24" s="79" customFormat="1" ht="51" x14ac:dyDescent="0.2">
      <c r="A988" s="1" t="s">
        <v>116</v>
      </c>
      <c r="B988" s="2" t="s">
        <v>38</v>
      </c>
      <c r="C988" s="2" t="s">
        <v>117</v>
      </c>
      <c r="D988" s="2" t="s">
        <v>118</v>
      </c>
      <c r="E988" s="2">
        <v>2023</v>
      </c>
      <c r="F988" s="2" t="s">
        <v>337</v>
      </c>
      <c r="G988" s="2" t="s">
        <v>3095</v>
      </c>
      <c r="H988" s="2" t="s">
        <v>3092</v>
      </c>
      <c r="I988" s="1" t="s">
        <v>14</v>
      </c>
      <c r="J988" s="1" t="s">
        <v>5475</v>
      </c>
      <c r="K988" s="17"/>
      <c r="L988" s="54">
        <v>0.14630000000000001</v>
      </c>
      <c r="M988" s="39">
        <f>1075.55*30%</f>
        <v>322.66499999999996</v>
      </c>
      <c r="N988" s="15">
        <f>1075.55*70%</f>
        <v>752.88499999999988</v>
      </c>
      <c r="O988" s="15"/>
      <c r="P988" s="15"/>
      <c r="Q988" s="15"/>
      <c r="R988" s="15"/>
      <c r="S988" s="15"/>
      <c r="T988" s="15"/>
      <c r="U988" s="15"/>
      <c r="V988" s="15"/>
      <c r="W988" s="92" t="s">
        <v>5466</v>
      </c>
    </row>
    <row r="989" spans="1:24" s="79" customFormat="1" ht="25.5" x14ac:dyDescent="0.2">
      <c r="A989" s="1" t="s">
        <v>116</v>
      </c>
      <c r="B989" s="2" t="s">
        <v>38</v>
      </c>
      <c r="C989" s="2" t="s">
        <v>117</v>
      </c>
      <c r="D989" s="2" t="s">
        <v>118</v>
      </c>
      <c r="E989" s="2">
        <v>2023</v>
      </c>
      <c r="F989" s="2" t="s">
        <v>364</v>
      </c>
      <c r="G989" s="2" t="s">
        <v>3095</v>
      </c>
      <c r="H989" s="2" t="s">
        <v>3092</v>
      </c>
      <c r="I989" s="1" t="s">
        <v>14</v>
      </c>
      <c r="J989" s="1" t="s">
        <v>5476</v>
      </c>
      <c r="K989" s="17"/>
      <c r="L989" s="54">
        <v>0.1386</v>
      </c>
      <c r="M989" s="39"/>
      <c r="N989" s="15">
        <v>1083.96</v>
      </c>
      <c r="O989" s="15"/>
      <c r="P989" s="15"/>
      <c r="Q989" s="15"/>
      <c r="R989" s="15"/>
      <c r="S989" s="15"/>
      <c r="T989" s="15"/>
      <c r="U989" s="15"/>
      <c r="V989" s="15"/>
      <c r="W989" s="95" t="s">
        <v>5477</v>
      </c>
    </row>
    <row r="990" spans="1:24" ht="51" x14ac:dyDescent="0.2">
      <c r="A990" s="1" t="s">
        <v>116</v>
      </c>
      <c r="B990" s="2" t="s">
        <v>38</v>
      </c>
      <c r="C990" s="2" t="s">
        <v>117</v>
      </c>
      <c r="D990" s="2" t="s">
        <v>118</v>
      </c>
      <c r="E990" s="2">
        <v>2023</v>
      </c>
      <c r="F990" s="2" t="s">
        <v>388</v>
      </c>
      <c r="G990" s="2" t="s">
        <v>3095</v>
      </c>
      <c r="H990" s="2" t="s">
        <v>3092</v>
      </c>
      <c r="I990" s="1" t="s">
        <v>14</v>
      </c>
      <c r="J990" s="1" t="s">
        <v>5478</v>
      </c>
      <c r="L990" s="54">
        <v>0.13469999999999999</v>
      </c>
      <c r="M990" s="39">
        <f>1345.93*30%</f>
        <v>403.779</v>
      </c>
      <c r="N990" s="15">
        <f>1345.93*70%</f>
        <v>942.15099999999995</v>
      </c>
      <c r="O990" s="15"/>
      <c r="P990" s="15"/>
      <c r="Q990" s="15"/>
      <c r="R990" s="15"/>
      <c r="S990" s="15"/>
      <c r="T990" s="15"/>
      <c r="U990" s="15"/>
      <c r="V990" s="15"/>
      <c r="W990" s="92" t="s">
        <v>5466</v>
      </c>
      <c r="X990" s="79"/>
    </row>
    <row r="991" spans="1:24" ht="127.5" x14ac:dyDescent="0.2">
      <c r="A991" s="1" t="s">
        <v>235</v>
      </c>
      <c r="B991" s="2" t="s">
        <v>196</v>
      </c>
      <c r="C991" s="2" t="s">
        <v>236</v>
      </c>
      <c r="D991" s="2" t="s">
        <v>118</v>
      </c>
      <c r="E991" s="2">
        <v>2023</v>
      </c>
      <c r="F991" s="2" t="s">
        <v>337</v>
      </c>
      <c r="G991" s="2" t="s">
        <v>3092</v>
      </c>
      <c r="H991" s="2" t="s">
        <v>3092</v>
      </c>
      <c r="I991" s="1" t="s">
        <v>5479</v>
      </c>
      <c r="J991" s="1" t="s">
        <v>5480</v>
      </c>
      <c r="L991" s="54">
        <v>0.36</v>
      </c>
      <c r="M991" s="39"/>
      <c r="N991" s="39"/>
      <c r="O991" s="39">
        <f>(831.64/0.3562)+(78.82/0.3431)+18.36</f>
        <v>2582.8446971931285</v>
      </c>
      <c r="P991" s="39"/>
      <c r="Q991" s="39"/>
      <c r="R991" s="39"/>
      <c r="S991" s="39"/>
      <c r="T991" s="39"/>
      <c r="U991" s="39"/>
      <c r="V991" s="39"/>
      <c r="W991" s="92"/>
      <c r="X991" s="79"/>
    </row>
    <row r="992" spans="1:24" ht="38.25" x14ac:dyDescent="0.2">
      <c r="A992" s="1" t="s">
        <v>5481</v>
      </c>
      <c r="B992" s="2" t="s">
        <v>196</v>
      </c>
      <c r="C992" s="2" t="s">
        <v>5482</v>
      </c>
      <c r="D992" s="2" t="s">
        <v>55</v>
      </c>
      <c r="E992" s="2">
        <v>2023</v>
      </c>
      <c r="F992" s="2" t="s">
        <v>311</v>
      </c>
      <c r="G992" s="2" t="s">
        <v>3092</v>
      </c>
      <c r="H992" s="2" t="s">
        <v>3092</v>
      </c>
      <c r="I992" s="1" t="s">
        <v>5483</v>
      </c>
      <c r="J992" s="1" t="s">
        <v>5484</v>
      </c>
      <c r="L992" s="54"/>
      <c r="M992" s="39"/>
      <c r="N992" s="39"/>
      <c r="O992" s="39"/>
      <c r="P992" s="39"/>
      <c r="Q992" s="39"/>
      <c r="R992" s="39"/>
      <c r="S992" s="39"/>
      <c r="T992" s="39"/>
      <c r="U992" s="39"/>
      <c r="V992" s="3"/>
      <c r="W992" s="92"/>
      <c r="X992" s="79"/>
    </row>
    <row r="993" spans="1:24" ht="63.75" x14ac:dyDescent="0.2">
      <c r="A993" s="1" t="s">
        <v>5481</v>
      </c>
      <c r="B993" s="2" t="s">
        <v>196</v>
      </c>
      <c r="C993" s="2" t="s">
        <v>5482</v>
      </c>
      <c r="D993" s="2" t="s">
        <v>55</v>
      </c>
      <c r="E993" s="2">
        <v>2023</v>
      </c>
      <c r="F993" s="2" t="s">
        <v>388</v>
      </c>
      <c r="G993" s="2" t="s">
        <v>3093</v>
      </c>
      <c r="H993" s="2" t="s">
        <v>3092</v>
      </c>
      <c r="I993" s="1" t="s">
        <v>14</v>
      </c>
      <c r="J993" s="1" t="s">
        <v>5485</v>
      </c>
      <c r="L993" s="54">
        <v>0.35699999999999998</v>
      </c>
      <c r="O993" s="59">
        <f>(1098.2+383.03)</f>
        <v>1481.23</v>
      </c>
    </row>
    <row r="994" spans="1:24" ht="25.5" x14ac:dyDescent="0.2">
      <c r="A994" s="1" t="s">
        <v>5486</v>
      </c>
      <c r="B994" s="2" t="s">
        <v>196</v>
      </c>
      <c r="C994" s="2" t="s">
        <v>5487</v>
      </c>
      <c r="D994" s="2" t="s">
        <v>246</v>
      </c>
      <c r="E994" s="2">
        <v>2023</v>
      </c>
      <c r="F994" s="2" t="s">
        <v>337</v>
      </c>
      <c r="G994" s="2" t="s">
        <v>3092</v>
      </c>
      <c r="H994" s="2" t="s">
        <v>3092</v>
      </c>
      <c r="I994" s="1" t="s">
        <v>5488</v>
      </c>
      <c r="J994" s="1" t="s">
        <v>5489</v>
      </c>
      <c r="L994" s="54"/>
      <c r="M994" s="39"/>
      <c r="N994" s="39"/>
      <c r="O994" s="39"/>
      <c r="P994" s="39"/>
      <c r="Q994" s="39"/>
      <c r="R994" s="39"/>
      <c r="S994" s="39"/>
      <c r="T994" s="39"/>
      <c r="U994" s="39"/>
      <c r="V994" s="39"/>
      <c r="W994" s="92" t="s">
        <v>1693</v>
      </c>
      <c r="X994" s="79"/>
    </row>
    <row r="995" spans="1:24" ht="25.5" x14ac:dyDescent="0.2">
      <c r="A995" s="1" t="s">
        <v>5486</v>
      </c>
      <c r="B995" s="2" t="s">
        <v>196</v>
      </c>
      <c r="C995" s="2" t="s">
        <v>5487</v>
      </c>
      <c r="D995" s="2" t="s">
        <v>246</v>
      </c>
      <c r="E995" s="2">
        <v>2023</v>
      </c>
      <c r="F995" s="2" t="s">
        <v>364</v>
      </c>
      <c r="G995" s="2" t="s">
        <v>3092</v>
      </c>
      <c r="H995" s="2" t="s">
        <v>3092</v>
      </c>
      <c r="I995" s="1" t="s">
        <v>5490</v>
      </c>
      <c r="J995" s="1" t="s">
        <v>5491</v>
      </c>
      <c r="L995" s="54"/>
      <c r="M995" s="39"/>
      <c r="N995" s="39"/>
      <c r="O995" s="39"/>
      <c r="P995" s="39"/>
      <c r="Q995" s="39"/>
      <c r="R995" s="39"/>
      <c r="S995" s="39"/>
      <c r="T995" s="39"/>
      <c r="U995" s="39"/>
      <c r="V995" s="39"/>
      <c r="W995" s="92" t="s">
        <v>1693</v>
      </c>
      <c r="X995" s="79"/>
    </row>
    <row r="996" spans="1:24" ht="25.5" x14ac:dyDescent="0.2">
      <c r="A996" s="1" t="s">
        <v>5492</v>
      </c>
      <c r="B996" s="2" t="s">
        <v>196</v>
      </c>
      <c r="C996" s="2" t="s">
        <v>5487</v>
      </c>
      <c r="D996" s="2" t="s">
        <v>246</v>
      </c>
      <c r="E996" s="2">
        <v>2023</v>
      </c>
      <c r="F996" s="2" t="s">
        <v>337</v>
      </c>
      <c r="G996" s="2" t="s">
        <v>3092</v>
      </c>
      <c r="H996" s="2" t="s">
        <v>3093</v>
      </c>
      <c r="I996" s="1" t="s">
        <v>5493</v>
      </c>
      <c r="J996" s="1" t="s">
        <v>14</v>
      </c>
      <c r="L996" s="54"/>
      <c r="M996" s="39"/>
      <c r="N996" s="39"/>
      <c r="O996" s="39"/>
      <c r="P996" s="39"/>
      <c r="Q996" s="39"/>
      <c r="R996" s="39"/>
      <c r="S996" s="39"/>
      <c r="T996" s="39"/>
      <c r="U996" s="39"/>
      <c r="V996" s="39"/>
      <c r="W996" s="92" t="s">
        <v>1693</v>
      </c>
      <c r="X996" s="79"/>
    </row>
    <row r="997" spans="1:24" ht="25.5" x14ac:dyDescent="0.2">
      <c r="A997" s="1" t="s">
        <v>5492</v>
      </c>
      <c r="B997" s="2" t="s">
        <v>196</v>
      </c>
      <c r="C997" s="2" t="s">
        <v>5487</v>
      </c>
      <c r="D997" s="2" t="s">
        <v>246</v>
      </c>
      <c r="E997" s="2">
        <v>2023</v>
      </c>
      <c r="F997" s="2" t="s">
        <v>364</v>
      </c>
      <c r="G997" s="2" t="s">
        <v>3092</v>
      </c>
      <c r="H997" s="2" t="s">
        <v>3092</v>
      </c>
      <c r="I997" s="1" t="s">
        <v>5494</v>
      </c>
      <c r="J997" s="1" t="s">
        <v>5495</v>
      </c>
      <c r="L997" s="54"/>
      <c r="M997" s="39"/>
      <c r="N997" s="39"/>
      <c r="O997" s="39"/>
      <c r="P997" s="39"/>
      <c r="Q997" s="39"/>
      <c r="R997" s="39"/>
      <c r="S997" s="39"/>
      <c r="T997" s="39"/>
      <c r="U997" s="39"/>
      <c r="V997" s="39"/>
      <c r="W997" s="92" t="s">
        <v>1693</v>
      </c>
      <c r="X997" s="79"/>
    </row>
    <row r="998" spans="1:24" ht="25.5" x14ac:dyDescent="0.2">
      <c r="A998" s="1" t="s">
        <v>244</v>
      </c>
      <c r="B998" s="2" t="s">
        <v>383</v>
      </c>
      <c r="C998" s="2" t="s">
        <v>245</v>
      </c>
      <c r="D998" s="2" t="s">
        <v>246</v>
      </c>
      <c r="E998" s="2">
        <v>2023</v>
      </c>
      <c r="F998" s="2" t="s">
        <v>311</v>
      </c>
      <c r="G998" s="2" t="s">
        <v>3093</v>
      </c>
      <c r="H998" s="2" t="s">
        <v>3092</v>
      </c>
      <c r="I998" s="1" t="s">
        <v>14</v>
      </c>
      <c r="J998" s="1" t="s">
        <v>5496</v>
      </c>
      <c r="L998" s="54"/>
      <c r="M998" s="39"/>
      <c r="N998" s="39"/>
      <c r="O998" s="39"/>
      <c r="P998" s="39"/>
      <c r="Q998" s="39"/>
      <c r="R998" s="39"/>
      <c r="S998" s="39"/>
      <c r="T998" s="39"/>
      <c r="U998" s="39"/>
      <c r="V998" s="39"/>
      <c r="W998" s="92" t="s">
        <v>1683</v>
      </c>
      <c r="X998" s="79"/>
    </row>
    <row r="999" spans="1:24" ht="25.5" x14ac:dyDescent="0.2">
      <c r="A999" s="1" t="s">
        <v>244</v>
      </c>
      <c r="B999" s="2" t="s">
        <v>383</v>
      </c>
      <c r="C999" s="2" t="s">
        <v>245</v>
      </c>
      <c r="D999" s="2" t="s">
        <v>246</v>
      </c>
      <c r="E999" s="2">
        <v>2023</v>
      </c>
      <c r="F999" s="2" t="s">
        <v>337</v>
      </c>
      <c r="G999" s="2" t="s">
        <v>3092</v>
      </c>
      <c r="H999" s="2" t="s">
        <v>3093</v>
      </c>
      <c r="I999" s="1" t="s">
        <v>5497</v>
      </c>
      <c r="J999" s="1" t="s">
        <v>14</v>
      </c>
      <c r="L999" s="54"/>
      <c r="M999" s="39"/>
      <c r="N999" s="39"/>
      <c r="O999" s="39"/>
      <c r="P999" s="39"/>
      <c r="Q999" s="39"/>
      <c r="R999" s="39"/>
      <c r="S999" s="39"/>
      <c r="T999" s="39"/>
      <c r="U999" s="39"/>
      <c r="V999" s="39"/>
      <c r="W999" s="92" t="s">
        <v>3575</v>
      </c>
      <c r="X999" s="79"/>
    </row>
    <row r="1000" spans="1:24" ht="25.5" x14ac:dyDescent="0.2">
      <c r="A1000" s="1" t="s">
        <v>244</v>
      </c>
      <c r="B1000" s="2" t="s">
        <v>383</v>
      </c>
      <c r="C1000" s="2" t="s">
        <v>245</v>
      </c>
      <c r="D1000" s="2" t="s">
        <v>246</v>
      </c>
      <c r="E1000" s="2">
        <v>2023</v>
      </c>
      <c r="F1000" s="2" t="s">
        <v>364</v>
      </c>
      <c r="G1000" s="2" t="s">
        <v>3092</v>
      </c>
      <c r="H1000" s="2" t="s">
        <v>3093</v>
      </c>
      <c r="I1000" s="1" t="s">
        <v>5498</v>
      </c>
      <c r="J1000" s="1" t="s">
        <v>14</v>
      </c>
      <c r="L1000" s="54"/>
      <c r="M1000" s="39"/>
      <c r="N1000" s="39"/>
      <c r="O1000" s="39"/>
      <c r="P1000" s="39"/>
      <c r="Q1000" s="39"/>
      <c r="R1000" s="39"/>
      <c r="S1000" s="39"/>
      <c r="T1000" s="39"/>
      <c r="U1000" s="39"/>
      <c r="V1000" s="39"/>
      <c r="W1000" s="92" t="s">
        <v>3575</v>
      </c>
      <c r="X1000" s="79"/>
    </row>
    <row r="1001" spans="1:24" ht="63.75" x14ac:dyDescent="0.2">
      <c r="A1001" s="1" t="s">
        <v>481</v>
      </c>
      <c r="B1001" s="2" t="s">
        <v>308</v>
      </c>
      <c r="C1001" s="2" t="s">
        <v>482</v>
      </c>
      <c r="D1001" s="2" t="s">
        <v>118</v>
      </c>
      <c r="E1001" s="2">
        <v>2023</v>
      </c>
      <c r="F1001" s="2" t="s">
        <v>256</v>
      </c>
      <c r="G1001" s="2" t="s">
        <v>3092</v>
      </c>
      <c r="H1001" s="2" t="s">
        <v>3092</v>
      </c>
      <c r="I1001" s="1" t="s">
        <v>5499</v>
      </c>
      <c r="J1001" s="1" t="s">
        <v>5500</v>
      </c>
      <c r="L1001" s="54"/>
      <c r="M1001" s="39"/>
      <c r="N1001" s="39"/>
      <c r="O1001" s="39"/>
      <c r="P1001" s="39"/>
      <c r="Q1001" s="39"/>
      <c r="R1001" s="39"/>
      <c r="S1001" s="39"/>
      <c r="T1001" s="39"/>
      <c r="U1001" s="39"/>
      <c r="V1001" s="39"/>
      <c r="W1001" s="92" t="s">
        <v>5501</v>
      </c>
      <c r="X1001" s="79"/>
    </row>
    <row r="1002" spans="1:24" ht="51" x14ac:dyDescent="0.2">
      <c r="A1002" s="1" t="s">
        <v>248</v>
      </c>
      <c r="B1002" s="2" t="s">
        <v>32</v>
      </c>
      <c r="C1002" s="2" t="s">
        <v>249</v>
      </c>
      <c r="D1002" s="2" t="s">
        <v>77</v>
      </c>
      <c r="E1002" s="2">
        <v>2023</v>
      </c>
      <c r="F1002" s="2" t="s">
        <v>13</v>
      </c>
      <c r="G1002" s="2" t="s">
        <v>3095</v>
      </c>
      <c r="H1002" s="2" t="s">
        <v>3092</v>
      </c>
      <c r="I1002" s="1" t="s">
        <v>14</v>
      </c>
      <c r="J1002" s="1" t="s">
        <v>5502</v>
      </c>
      <c r="L1002" s="54">
        <v>3.3000000000000002E-2</v>
      </c>
      <c r="M1002" s="39"/>
      <c r="N1002" s="39"/>
      <c r="O1002" s="39">
        <v>167.9</v>
      </c>
      <c r="P1002" s="39"/>
      <c r="Q1002" s="39"/>
      <c r="R1002" s="39"/>
      <c r="S1002" s="39"/>
      <c r="T1002" s="39"/>
      <c r="U1002" s="39"/>
      <c r="V1002" s="39"/>
      <c r="W1002" s="92"/>
      <c r="X1002" s="79"/>
    </row>
    <row r="1003" spans="1:24" ht="51" x14ac:dyDescent="0.2">
      <c r="A1003" s="1" t="s">
        <v>248</v>
      </c>
      <c r="B1003" s="2" t="s">
        <v>32</v>
      </c>
      <c r="C1003" s="2" t="s">
        <v>249</v>
      </c>
      <c r="D1003" s="2" t="s">
        <v>77</v>
      </c>
      <c r="E1003" s="2">
        <v>2023</v>
      </c>
      <c r="F1003" s="2" t="s">
        <v>221</v>
      </c>
      <c r="G1003" s="2" t="s">
        <v>3095</v>
      </c>
      <c r="H1003" s="2" t="s">
        <v>3092</v>
      </c>
      <c r="I1003" s="1" t="s">
        <v>14</v>
      </c>
      <c r="J1003" s="1" t="s">
        <v>5503</v>
      </c>
      <c r="L1003" s="54" t="s">
        <v>1670</v>
      </c>
      <c r="M1003" s="39"/>
      <c r="N1003" s="39"/>
      <c r="O1003" s="39">
        <v>170.4</v>
      </c>
      <c r="P1003" s="39"/>
      <c r="Q1003" s="39"/>
      <c r="R1003" s="39"/>
      <c r="S1003" s="39"/>
      <c r="T1003" s="39"/>
      <c r="U1003" s="39"/>
      <c r="V1003" s="39"/>
      <c r="W1003" s="92"/>
      <c r="X1003" s="79"/>
    </row>
    <row r="1004" spans="1:24" ht="51" x14ac:dyDescent="0.2">
      <c r="A1004" s="1" t="s">
        <v>248</v>
      </c>
      <c r="B1004" s="2" t="s">
        <v>32</v>
      </c>
      <c r="C1004" s="2" t="s">
        <v>249</v>
      </c>
      <c r="D1004" s="2" t="s">
        <v>77</v>
      </c>
      <c r="E1004" s="2">
        <v>2023</v>
      </c>
      <c r="F1004" s="2" t="s">
        <v>256</v>
      </c>
      <c r="G1004" s="2" t="s">
        <v>3095</v>
      </c>
      <c r="H1004" s="2" t="s">
        <v>3092</v>
      </c>
      <c r="I1004" s="1" t="s">
        <v>14</v>
      </c>
      <c r="J1004" s="1" t="s">
        <v>5504</v>
      </c>
      <c r="L1004" s="54" t="s">
        <v>1670</v>
      </c>
      <c r="M1004" s="39"/>
      <c r="N1004" s="39"/>
      <c r="O1004" s="39">
        <v>225.04300000000001</v>
      </c>
      <c r="P1004" s="39"/>
      <c r="Q1004" s="39"/>
      <c r="R1004" s="39"/>
      <c r="S1004" s="39"/>
      <c r="T1004" s="39"/>
      <c r="U1004" s="39"/>
      <c r="V1004" s="39"/>
      <c r="W1004" s="92" t="s">
        <v>5505</v>
      </c>
      <c r="X1004" s="79"/>
    </row>
    <row r="1005" spans="1:24" ht="63.75" x14ac:dyDescent="0.2">
      <c r="A1005" s="1" t="s">
        <v>81</v>
      </c>
      <c r="B1005" s="2" t="s">
        <v>29</v>
      </c>
      <c r="C1005" s="2" t="s">
        <v>82</v>
      </c>
      <c r="D1005" s="2" t="s">
        <v>58</v>
      </c>
      <c r="E1005" s="2">
        <v>2023</v>
      </c>
      <c r="F1005" s="2" t="s">
        <v>188</v>
      </c>
      <c r="G1005" s="2" t="s">
        <v>3092</v>
      </c>
      <c r="H1005" s="2" t="s">
        <v>3092</v>
      </c>
      <c r="I1005" s="1" t="s">
        <v>5506</v>
      </c>
      <c r="J1005" s="1" t="s">
        <v>5507</v>
      </c>
      <c r="L1005" s="54" t="s">
        <v>1670</v>
      </c>
      <c r="M1005" s="39"/>
      <c r="N1005" s="39"/>
      <c r="O1005" s="39"/>
      <c r="P1005" s="39"/>
      <c r="Q1005" s="39"/>
      <c r="R1005" s="39"/>
      <c r="S1005" s="39">
        <v>7.27</v>
      </c>
      <c r="T1005" s="39"/>
      <c r="U1005" s="39"/>
      <c r="V1005" s="39"/>
      <c r="W1005" s="92"/>
      <c r="X1005" s="79"/>
    </row>
    <row r="1006" spans="1:24" ht="63.75" x14ac:dyDescent="0.2">
      <c r="A1006" s="1" t="s">
        <v>81</v>
      </c>
      <c r="B1006" s="2" t="s">
        <v>29</v>
      </c>
      <c r="C1006" s="2" t="s">
        <v>82</v>
      </c>
      <c r="D1006" s="2" t="s">
        <v>58</v>
      </c>
      <c r="E1006" s="2">
        <v>2023</v>
      </c>
      <c r="F1006" s="2" t="s">
        <v>203</v>
      </c>
      <c r="G1006" s="2" t="s">
        <v>3092</v>
      </c>
      <c r="H1006" s="2" t="s">
        <v>3092</v>
      </c>
      <c r="I1006" s="1" t="s">
        <v>5508</v>
      </c>
      <c r="J1006" s="1" t="s">
        <v>5509</v>
      </c>
      <c r="L1006" s="54" t="s">
        <v>1670</v>
      </c>
      <c r="M1006" s="39"/>
      <c r="N1006" s="39"/>
      <c r="O1006" s="39"/>
      <c r="P1006" s="39"/>
      <c r="Q1006" s="39"/>
      <c r="R1006" s="39"/>
      <c r="S1006" s="39">
        <v>21.7</v>
      </c>
      <c r="T1006" s="39"/>
      <c r="U1006" s="39"/>
      <c r="V1006" s="39"/>
      <c r="W1006" s="92"/>
      <c r="X1006" s="79"/>
    </row>
    <row r="1007" spans="1:24" ht="63.75" x14ac:dyDescent="0.2">
      <c r="A1007" s="1" t="s">
        <v>81</v>
      </c>
      <c r="B1007" s="2" t="s">
        <v>29</v>
      </c>
      <c r="C1007" s="2" t="s">
        <v>82</v>
      </c>
      <c r="D1007" s="2" t="s">
        <v>58</v>
      </c>
      <c r="E1007" s="2">
        <v>2023</v>
      </c>
      <c r="F1007" s="2" t="s">
        <v>211</v>
      </c>
      <c r="G1007" s="2" t="s">
        <v>3092</v>
      </c>
      <c r="H1007" s="2" t="s">
        <v>3092</v>
      </c>
      <c r="I1007" s="1" t="s">
        <v>5510</v>
      </c>
      <c r="J1007" s="1" t="s">
        <v>5511</v>
      </c>
      <c r="L1007" s="54" t="s">
        <v>1670</v>
      </c>
      <c r="M1007" s="39"/>
      <c r="N1007" s="39"/>
      <c r="O1007" s="39"/>
      <c r="P1007" s="39"/>
      <c r="Q1007" s="39"/>
      <c r="R1007" s="39"/>
      <c r="S1007" s="39">
        <v>14</v>
      </c>
      <c r="T1007" s="39"/>
      <c r="U1007" s="39"/>
      <c r="V1007" s="39"/>
      <c r="W1007" s="92"/>
      <c r="X1007" s="79"/>
    </row>
    <row r="1008" spans="1:24" ht="63.75" x14ac:dyDescent="0.2">
      <c r="A1008" s="1" t="s">
        <v>81</v>
      </c>
      <c r="B1008" s="2" t="s">
        <v>29</v>
      </c>
      <c r="C1008" s="2" t="s">
        <v>82</v>
      </c>
      <c r="D1008" s="2" t="s">
        <v>58</v>
      </c>
      <c r="E1008" s="2">
        <v>2023</v>
      </c>
      <c r="F1008" s="2" t="s">
        <v>221</v>
      </c>
      <c r="G1008" s="2" t="s">
        <v>3092</v>
      </c>
      <c r="H1008" s="2" t="s">
        <v>3092</v>
      </c>
      <c r="I1008" s="1" t="s">
        <v>5512</v>
      </c>
      <c r="J1008" s="1" t="s">
        <v>5513</v>
      </c>
      <c r="L1008" s="54" t="s">
        <v>1670</v>
      </c>
      <c r="M1008" s="39"/>
      <c r="N1008" s="39"/>
      <c r="O1008" s="3"/>
      <c r="P1008" s="39"/>
      <c r="Q1008" s="39"/>
      <c r="R1008" s="39"/>
      <c r="S1008" s="39">
        <v>7.1</v>
      </c>
      <c r="T1008" s="39"/>
      <c r="U1008" s="39"/>
      <c r="V1008" s="39"/>
      <c r="W1008" s="92"/>
      <c r="X1008" s="79"/>
    </row>
    <row r="1009" spans="1:24" ht="63.75" x14ac:dyDescent="0.2">
      <c r="A1009" s="1" t="s">
        <v>81</v>
      </c>
      <c r="B1009" s="2" t="s">
        <v>29</v>
      </c>
      <c r="C1009" s="2" t="s">
        <v>82</v>
      </c>
      <c r="D1009" s="2" t="s">
        <v>58</v>
      </c>
      <c r="E1009" s="2">
        <v>2023</v>
      </c>
      <c r="F1009" s="2" t="s">
        <v>256</v>
      </c>
      <c r="G1009" s="2" t="s">
        <v>3092</v>
      </c>
      <c r="H1009" s="2" t="s">
        <v>3092</v>
      </c>
      <c r="I1009" s="1" t="s">
        <v>5514</v>
      </c>
      <c r="J1009" s="1" t="s">
        <v>5515</v>
      </c>
      <c r="L1009" s="54" t="s">
        <v>1670</v>
      </c>
      <c r="M1009" s="39"/>
      <c r="N1009" s="39"/>
      <c r="O1009" s="39"/>
      <c r="P1009" s="39"/>
      <c r="Q1009" s="39"/>
      <c r="R1009" s="39"/>
      <c r="S1009" s="39">
        <v>12.8</v>
      </c>
      <c r="T1009" s="39"/>
      <c r="U1009" s="39"/>
      <c r="V1009" s="39"/>
      <c r="W1009" s="92"/>
      <c r="X1009" s="79"/>
    </row>
    <row r="1010" spans="1:24" ht="63.75" x14ac:dyDescent="0.2">
      <c r="A1010" s="1" t="s">
        <v>81</v>
      </c>
      <c r="B1010" s="2" t="s">
        <v>29</v>
      </c>
      <c r="C1010" s="2" t="s">
        <v>82</v>
      </c>
      <c r="D1010" s="2" t="s">
        <v>58</v>
      </c>
      <c r="E1010" s="2">
        <v>2023</v>
      </c>
      <c r="F1010" s="2" t="s">
        <v>276</v>
      </c>
      <c r="G1010" s="2" t="s">
        <v>3092</v>
      </c>
      <c r="H1010" s="2" t="s">
        <v>3092</v>
      </c>
      <c r="I1010" s="1" t="s">
        <v>5516</v>
      </c>
      <c r="J1010" s="1" t="s">
        <v>5517</v>
      </c>
      <c r="L1010" s="54" t="s">
        <v>1670</v>
      </c>
      <c r="M1010" s="39"/>
      <c r="N1010" s="39"/>
      <c r="O1010" s="39"/>
      <c r="P1010" s="39"/>
      <c r="Q1010" s="39"/>
      <c r="R1010" s="39"/>
      <c r="S1010" s="39">
        <v>12.8</v>
      </c>
      <c r="T1010" s="39"/>
      <c r="U1010" s="39"/>
      <c r="V1010" s="39"/>
      <c r="W1010" s="92"/>
      <c r="X1010" s="79"/>
    </row>
    <row r="1011" spans="1:24" ht="63.75" x14ac:dyDescent="0.2">
      <c r="A1011" s="1" t="s">
        <v>81</v>
      </c>
      <c r="B1011" s="2" t="s">
        <v>29</v>
      </c>
      <c r="C1011" s="2" t="s">
        <v>82</v>
      </c>
      <c r="D1011" s="2" t="s">
        <v>58</v>
      </c>
      <c r="E1011" s="2">
        <v>2023</v>
      </c>
      <c r="F1011" s="2" t="s">
        <v>291</v>
      </c>
      <c r="G1011" s="2" t="s">
        <v>3092</v>
      </c>
      <c r="H1011" s="2" t="s">
        <v>3092</v>
      </c>
      <c r="I1011" s="1" t="s">
        <v>5518</v>
      </c>
      <c r="J1011" s="1" t="s">
        <v>5519</v>
      </c>
      <c r="L1011" s="54" t="s">
        <v>1670</v>
      </c>
      <c r="M1011" s="39"/>
      <c r="N1011" s="39"/>
      <c r="O1011" s="39"/>
      <c r="P1011" s="39"/>
      <c r="Q1011" s="39"/>
      <c r="R1011" s="39"/>
      <c r="S1011" s="39">
        <v>12.1</v>
      </c>
      <c r="T1011" s="39"/>
      <c r="U1011" s="39"/>
      <c r="V1011" s="39"/>
      <c r="W1011" s="92"/>
      <c r="X1011" s="79"/>
    </row>
    <row r="1012" spans="1:24" ht="63.75" x14ac:dyDescent="0.2">
      <c r="A1012" s="1" t="s">
        <v>81</v>
      </c>
      <c r="B1012" s="2" t="s">
        <v>29</v>
      </c>
      <c r="C1012" s="2" t="s">
        <v>82</v>
      </c>
      <c r="D1012" s="2" t="s">
        <v>58</v>
      </c>
      <c r="E1012" s="2">
        <v>2023</v>
      </c>
      <c r="F1012" s="2" t="s">
        <v>311</v>
      </c>
      <c r="G1012" s="2" t="s">
        <v>3092</v>
      </c>
      <c r="H1012" s="2" t="s">
        <v>3092</v>
      </c>
      <c r="I1012" s="1" t="s">
        <v>5520</v>
      </c>
      <c r="J1012" s="1" t="s">
        <v>5521</v>
      </c>
      <c r="L1012" s="54" t="s">
        <v>1670</v>
      </c>
      <c r="M1012" s="39"/>
      <c r="N1012" s="39"/>
      <c r="O1012" s="39"/>
      <c r="P1012" s="39"/>
      <c r="Q1012" s="39"/>
      <c r="R1012" s="39"/>
      <c r="S1012" s="39">
        <v>5.8</v>
      </c>
      <c r="T1012" s="39"/>
      <c r="U1012" s="39"/>
      <c r="V1012" s="39"/>
      <c r="W1012" s="92"/>
      <c r="X1012" s="79"/>
    </row>
    <row r="1013" spans="1:24" ht="63.75" x14ac:dyDescent="0.2">
      <c r="A1013" s="1" t="s">
        <v>81</v>
      </c>
      <c r="B1013" s="2" t="s">
        <v>29</v>
      </c>
      <c r="C1013" s="2" t="s">
        <v>82</v>
      </c>
      <c r="D1013" s="2" t="s">
        <v>58</v>
      </c>
      <c r="E1013" s="2">
        <v>2023</v>
      </c>
      <c r="F1013" s="2" t="s">
        <v>337</v>
      </c>
      <c r="G1013" s="2" t="s">
        <v>3092</v>
      </c>
      <c r="H1013" s="2" t="s">
        <v>3092</v>
      </c>
      <c r="I1013" s="1" t="s">
        <v>5522</v>
      </c>
      <c r="J1013" s="1" t="s">
        <v>5523</v>
      </c>
      <c r="L1013" s="54" t="s">
        <v>1670</v>
      </c>
      <c r="M1013" s="39"/>
      <c r="N1013" s="39"/>
      <c r="O1013" s="39"/>
      <c r="P1013" s="39"/>
      <c r="Q1013" s="39"/>
      <c r="R1013" s="39"/>
      <c r="S1013" s="39">
        <v>16.2</v>
      </c>
      <c r="T1013" s="39"/>
      <c r="U1013" s="39"/>
      <c r="V1013" s="39"/>
      <c r="W1013" s="92"/>
      <c r="X1013" s="79"/>
    </row>
    <row r="1014" spans="1:24" ht="63.75" x14ac:dyDescent="0.2">
      <c r="A1014" s="1" t="s">
        <v>81</v>
      </c>
      <c r="B1014" s="2" t="s">
        <v>29</v>
      </c>
      <c r="C1014" s="2" t="s">
        <v>82</v>
      </c>
      <c r="D1014" s="2" t="s">
        <v>58</v>
      </c>
      <c r="E1014" s="2">
        <v>2023</v>
      </c>
      <c r="F1014" s="2" t="s">
        <v>364</v>
      </c>
      <c r="G1014" s="2" t="s">
        <v>3092</v>
      </c>
      <c r="H1014" s="2" t="s">
        <v>3092</v>
      </c>
      <c r="I1014" s="1" t="s">
        <v>5524</v>
      </c>
      <c r="J1014" s="1" t="s">
        <v>5525</v>
      </c>
      <c r="L1014" s="54" t="s">
        <v>1670</v>
      </c>
      <c r="M1014" s="39"/>
      <c r="N1014" s="39"/>
      <c r="O1014" s="39"/>
      <c r="P1014" s="39"/>
      <c r="Q1014" s="39"/>
      <c r="R1014" s="39"/>
      <c r="S1014" s="39">
        <v>5.2</v>
      </c>
      <c r="T1014" s="39"/>
      <c r="U1014" s="39"/>
      <c r="V1014" s="39"/>
      <c r="W1014" s="92"/>
      <c r="X1014" s="79"/>
    </row>
    <row r="1015" spans="1:24" ht="63.75" x14ac:dyDescent="0.2">
      <c r="A1015" s="1" t="s">
        <v>81</v>
      </c>
      <c r="B1015" s="2" t="s">
        <v>29</v>
      </c>
      <c r="C1015" s="2" t="s">
        <v>82</v>
      </c>
      <c r="D1015" s="2" t="s">
        <v>58</v>
      </c>
      <c r="E1015" s="2">
        <v>2023</v>
      </c>
      <c r="F1015" s="2" t="s">
        <v>388</v>
      </c>
      <c r="G1015" s="2" t="s">
        <v>3092</v>
      </c>
      <c r="H1015" s="2" t="s">
        <v>3092</v>
      </c>
      <c r="I1015" s="1" t="s">
        <v>5526</v>
      </c>
      <c r="J1015" s="1" t="s">
        <v>5527</v>
      </c>
      <c r="L1015" s="54" t="s">
        <v>1670</v>
      </c>
      <c r="S1015" s="39">
        <v>11.8</v>
      </c>
    </row>
    <row r="1016" spans="1:24" ht="102" x14ac:dyDescent="0.2">
      <c r="A1016" s="1" t="s">
        <v>1111</v>
      </c>
      <c r="B1016" s="2" t="s">
        <v>196</v>
      </c>
      <c r="C1016" s="2" t="s">
        <v>1112</v>
      </c>
      <c r="D1016" s="2" t="s">
        <v>450</v>
      </c>
      <c r="E1016" s="2">
        <v>2023</v>
      </c>
      <c r="F1016" s="2" t="s">
        <v>221</v>
      </c>
      <c r="G1016" s="2" t="s">
        <v>3092</v>
      </c>
      <c r="H1016" s="2" t="s">
        <v>3092</v>
      </c>
      <c r="I1016" s="1" t="s">
        <v>5528</v>
      </c>
      <c r="J1016" s="1" t="s">
        <v>5529</v>
      </c>
      <c r="L1016" s="54">
        <v>0.2</v>
      </c>
      <c r="M1016" s="39"/>
      <c r="N1016" s="39"/>
      <c r="O1016" s="39">
        <f>(292+171)/L1016</f>
        <v>2315</v>
      </c>
      <c r="P1016" s="39"/>
      <c r="Q1016" s="39"/>
      <c r="R1016" s="39"/>
      <c r="S1016" s="39"/>
      <c r="T1016" s="39"/>
      <c r="U1016" s="39"/>
      <c r="V1016" s="39"/>
      <c r="W1016" s="92"/>
      <c r="X1016" s="79"/>
    </row>
    <row r="1017" spans="1:24" ht="102" x14ac:dyDescent="0.2">
      <c r="A1017" s="1" t="s">
        <v>224</v>
      </c>
      <c r="B1017" s="2" t="s">
        <v>196</v>
      </c>
      <c r="C1017" s="2" t="s">
        <v>225</v>
      </c>
      <c r="D1017" s="2" t="s">
        <v>226</v>
      </c>
      <c r="E1017" s="2">
        <v>2023</v>
      </c>
      <c r="F1017" s="2" t="s">
        <v>311</v>
      </c>
      <c r="G1017" s="2" t="s">
        <v>3092</v>
      </c>
      <c r="H1017" s="2" t="s">
        <v>3093</v>
      </c>
      <c r="I1017" s="1" t="s">
        <v>5530</v>
      </c>
      <c r="J1017" s="1" t="s">
        <v>5531</v>
      </c>
      <c r="L1017" s="54"/>
      <c r="M1017" s="39"/>
      <c r="N1017" s="39"/>
      <c r="O1017" s="39"/>
      <c r="P1017" s="39"/>
      <c r="Q1017" s="39"/>
      <c r="R1017" s="39"/>
      <c r="S1017" s="39"/>
      <c r="T1017" s="39"/>
      <c r="U1017" s="39"/>
      <c r="V1017" s="39"/>
      <c r="W1017" s="92" t="s">
        <v>1693</v>
      </c>
      <c r="X1017" s="79"/>
    </row>
    <row r="1018" spans="1:24" ht="25.5" x14ac:dyDescent="0.2">
      <c r="A1018" s="1" t="s">
        <v>4335</v>
      </c>
      <c r="B1018" s="2" t="s">
        <v>262</v>
      </c>
      <c r="C1018" s="2" t="s">
        <v>4336</v>
      </c>
      <c r="D1018" s="2" t="s">
        <v>314</v>
      </c>
      <c r="E1018" s="2">
        <v>2023</v>
      </c>
      <c r="F1018" s="2" t="s">
        <v>364</v>
      </c>
      <c r="G1018" s="2" t="s">
        <v>3092</v>
      </c>
      <c r="H1018" s="2" t="s">
        <v>3092</v>
      </c>
      <c r="I1018" s="1" t="s">
        <v>5532</v>
      </c>
      <c r="J1018" s="1" t="s">
        <v>5533</v>
      </c>
      <c r="L1018" s="54" t="s">
        <v>1670</v>
      </c>
      <c r="M1018" s="39"/>
      <c r="N1018" s="39"/>
      <c r="O1018" s="39"/>
      <c r="P1018" s="39"/>
      <c r="Q1018" s="39"/>
      <c r="R1018" s="39"/>
      <c r="S1018" s="39"/>
      <c r="T1018" s="39"/>
      <c r="U1018" s="39"/>
      <c r="V1018" s="39">
        <v>45</v>
      </c>
      <c r="W1018" s="92" t="s">
        <v>1699</v>
      </c>
      <c r="X1018" s="79"/>
    </row>
    <row r="1019" spans="1:24" x14ac:dyDescent="0.2">
      <c r="A1019" s="1">
        <f t="shared" ref="A1019:V1019" si="1">SUBTOTAL(109,A3:A1018)</f>
        <v>0</v>
      </c>
      <c r="B1019" s="2">
        <f t="shared" si="1"/>
        <v>0</v>
      </c>
      <c r="C1019" s="2">
        <f t="shared" si="1"/>
        <v>0</v>
      </c>
      <c r="D1019" s="2">
        <f t="shared" si="1"/>
        <v>0</v>
      </c>
      <c r="F1019" s="2">
        <f t="shared" si="1"/>
        <v>0</v>
      </c>
      <c r="G1019" s="2">
        <f t="shared" si="1"/>
        <v>0</v>
      </c>
      <c r="H1019" s="2">
        <f t="shared" si="1"/>
        <v>0</v>
      </c>
      <c r="I1019" s="1">
        <f t="shared" si="1"/>
        <v>0</v>
      </c>
      <c r="J1019" s="1">
        <f t="shared" si="1"/>
        <v>0</v>
      </c>
      <c r="K1019" s="17">
        <f t="shared" si="1"/>
        <v>0</v>
      </c>
      <c r="L1019" s="96"/>
      <c r="M1019" s="73">
        <f t="shared" si="1"/>
        <v>7712.2439999999988</v>
      </c>
      <c r="N1019" s="73">
        <f t="shared" si="1"/>
        <v>90668.304291666645</v>
      </c>
      <c r="O1019" s="73">
        <f t="shared" si="1"/>
        <v>238655.83801670073</v>
      </c>
      <c r="P1019" s="73">
        <f t="shared" si="1"/>
        <v>8786.0400000000009</v>
      </c>
      <c r="Q1019" s="73">
        <f t="shared" si="1"/>
        <v>0</v>
      </c>
      <c r="R1019" s="73">
        <f t="shared" si="1"/>
        <v>17484.179</v>
      </c>
      <c r="S1019" s="73">
        <f t="shared" si="1"/>
        <v>65400.297666666644</v>
      </c>
      <c r="T1019" s="73">
        <f t="shared" si="1"/>
        <v>266333.54970833333</v>
      </c>
      <c r="U1019" s="73">
        <f t="shared" si="1"/>
        <v>0</v>
      </c>
      <c r="V1019" s="73">
        <f t="shared" si="1"/>
        <v>5136.8482449400008</v>
      </c>
      <c r="W1019" s="97">
        <f>SUM(M1019:V1019)</f>
        <v>700177.30092830735</v>
      </c>
    </row>
    <row r="1021" spans="1:24" x14ac:dyDescent="0.2">
      <c r="J1021" s="9"/>
      <c r="K1021" s="18"/>
    </row>
    <row r="1023" spans="1:24" x14ac:dyDescent="0.2">
      <c r="H1023" s="8"/>
    </row>
    <row r="1024" spans="1:24" x14ac:dyDescent="0.2">
      <c r="H1024" s="8"/>
    </row>
    <row r="1025" spans="8:11" x14ac:dyDescent="0.2">
      <c r="I1025" s="13"/>
      <c r="J1025" s="3"/>
      <c r="K1025" s="19"/>
    </row>
    <row r="1026" spans="8:11" x14ac:dyDescent="0.2">
      <c r="I1026" s="11"/>
      <c r="J1026" s="8"/>
      <c r="K1026" s="20"/>
    </row>
    <row r="1027" spans="8:11" x14ac:dyDescent="0.2">
      <c r="H1027" s="10"/>
      <c r="I1027" s="11"/>
      <c r="J1027" s="8"/>
      <c r="K1027" s="20"/>
    </row>
    <row r="1028" spans="8:11" x14ac:dyDescent="0.2">
      <c r="H1028" s="7"/>
    </row>
    <row r="1029" spans="8:11" x14ac:dyDescent="0.2">
      <c r="H1029" s="7"/>
    </row>
  </sheetData>
  <pageMargins left="0.78740157499999996" right="0.78740157499999996" top="0.984251969" bottom="0.984251969" header="0.4921259845" footer="0.492125984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29"/>
  <sheetViews>
    <sheetView zoomScale="70" zoomScaleNormal="70" workbookViewId="0">
      <pane xSplit="1" ySplit="2" topLeftCell="B3" activePane="bottomRight" state="frozen"/>
      <selection pane="topRight" activeCell="B1" sqref="B1"/>
      <selection pane="bottomLeft" activeCell="A3" sqref="A3"/>
      <selection pane="bottomRight" activeCell="A2" sqref="A2"/>
    </sheetView>
  </sheetViews>
  <sheetFormatPr baseColWidth="10" defaultRowHeight="12.75" x14ac:dyDescent="0.2"/>
  <cols>
    <col min="1" max="1" width="47.28515625" style="1" customWidth="1"/>
    <col min="2" max="2" width="27.7109375" style="2" customWidth="1"/>
    <col min="3" max="3" width="19.28515625" style="2" customWidth="1"/>
    <col min="4" max="4" width="23.42578125" style="2" customWidth="1"/>
    <col min="5" max="6" width="11.5703125" style="2" customWidth="1"/>
    <col min="7" max="7" width="18.42578125" style="2" customWidth="1"/>
    <col min="8" max="8" width="20.7109375" style="2" customWidth="1"/>
    <col min="9" max="9" width="46.85546875" style="1" customWidth="1"/>
    <col min="10" max="10" width="85.42578125" style="1" customWidth="1"/>
    <col min="11" max="11" width="2.5703125" style="17" customWidth="1"/>
    <col min="12" max="12" width="19.28515625" style="58" customWidth="1"/>
    <col min="13" max="13" width="19.28515625" style="59" customWidth="1"/>
    <col min="14" max="14" width="20.5703125" style="59" customWidth="1"/>
    <col min="15" max="16" width="19.28515625" style="59" customWidth="1"/>
    <col min="17" max="17" width="16.140625" style="59" customWidth="1"/>
    <col min="18" max="22" width="17.7109375" style="59" customWidth="1"/>
    <col min="23" max="23" width="63.5703125" style="67" customWidth="1"/>
    <col min="24" max="24" width="13.28515625" customWidth="1"/>
  </cols>
  <sheetData>
    <row r="1" spans="1:23" ht="35.25" customHeight="1" x14ac:dyDescent="0.2">
      <c r="A1" s="76" t="s">
        <v>3073</v>
      </c>
      <c r="B1" s="76"/>
      <c r="C1" s="76"/>
      <c r="D1" s="76"/>
      <c r="E1" s="76"/>
      <c r="F1" s="76"/>
      <c r="G1" s="76"/>
      <c r="H1" s="76"/>
      <c r="I1" s="76"/>
      <c r="J1" s="76"/>
      <c r="K1" s="16"/>
      <c r="L1" s="77" t="s">
        <v>1744</v>
      </c>
      <c r="M1" s="77"/>
      <c r="N1" s="77"/>
      <c r="O1" s="77"/>
      <c r="P1" s="77"/>
      <c r="Q1" s="77"/>
      <c r="R1" s="77"/>
      <c r="S1" s="77"/>
      <c r="T1" s="77"/>
      <c r="U1" s="77"/>
      <c r="V1" s="77"/>
      <c r="W1" s="77"/>
    </row>
    <row r="2" spans="1:23" s="1" customFormat="1" ht="78" customHeight="1" x14ac:dyDescent="0.2">
      <c r="A2" s="1" t="s">
        <v>3076</v>
      </c>
      <c r="B2" s="1" t="s">
        <v>0</v>
      </c>
      <c r="C2" s="1" t="s">
        <v>1</v>
      </c>
      <c r="D2" s="1" t="s">
        <v>2</v>
      </c>
      <c r="E2" s="1" t="s">
        <v>3</v>
      </c>
      <c r="F2" s="1" t="s">
        <v>4</v>
      </c>
      <c r="G2" s="1" t="s">
        <v>5</v>
      </c>
      <c r="H2" s="1" t="s">
        <v>6</v>
      </c>
      <c r="I2" s="1" t="s">
        <v>7</v>
      </c>
      <c r="J2" s="1" t="s">
        <v>8</v>
      </c>
      <c r="K2" s="21" t="s">
        <v>1774</v>
      </c>
      <c r="L2" s="32" t="s">
        <v>1672</v>
      </c>
      <c r="M2" s="23" t="s">
        <v>1673</v>
      </c>
      <c r="N2" s="23" t="s">
        <v>1775</v>
      </c>
      <c r="O2" s="23" t="s">
        <v>1671</v>
      </c>
      <c r="P2" s="23" t="s">
        <v>1674</v>
      </c>
      <c r="Q2" s="23" t="s">
        <v>1675</v>
      </c>
      <c r="R2" s="23" t="s">
        <v>1704</v>
      </c>
      <c r="S2" s="23" t="s">
        <v>1676</v>
      </c>
      <c r="T2" s="23" t="s">
        <v>1677</v>
      </c>
      <c r="U2" s="23" t="s">
        <v>4342</v>
      </c>
      <c r="V2" s="23" t="s">
        <v>4343</v>
      </c>
      <c r="W2" s="68" t="s">
        <v>1678</v>
      </c>
    </row>
    <row r="3" spans="1:23" s="79" customFormat="1" ht="73.5" customHeight="1" x14ac:dyDescent="0.2">
      <c r="A3" s="1" t="s">
        <v>3090</v>
      </c>
      <c r="B3" s="2" t="s">
        <v>196</v>
      </c>
      <c r="C3" s="2" t="s">
        <v>3091</v>
      </c>
      <c r="D3" s="2" t="s">
        <v>46</v>
      </c>
      <c r="E3" s="2">
        <v>2022</v>
      </c>
      <c r="F3" s="2" t="s">
        <v>1794</v>
      </c>
      <c r="G3" s="2" t="s">
        <v>3092</v>
      </c>
      <c r="H3" s="2" t="s">
        <v>3093</v>
      </c>
      <c r="I3" s="1" t="s">
        <v>3094</v>
      </c>
      <c r="J3" s="1" t="s">
        <v>14</v>
      </c>
      <c r="K3" s="17"/>
      <c r="L3" s="53"/>
      <c r="M3" s="39"/>
      <c r="N3" s="39"/>
      <c r="O3" s="39"/>
      <c r="P3" s="39"/>
      <c r="Q3" s="39"/>
      <c r="R3" s="39"/>
      <c r="S3" s="39"/>
      <c r="T3" s="39"/>
      <c r="U3" s="39"/>
      <c r="V3" s="39"/>
      <c r="W3" s="60" t="s">
        <v>1693</v>
      </c>
    </row>
    <row r="4" spans="1:23" s="79" customFormat="1" ht="38.25" x14ac:dyDescent="0.2">
      <c r="A4" s="1" t="s">
        <v>149</v>
      </c>
      <c r="B4" s="2" t="s">
        <v>16</v>
      </c>
      <c r="C4" s="2" t="s">
        <v>150</v>
      </c>
      <c r="D4" s="2" t="s">
        <v>129</v>
      </c>
      <c r="E4" s="2">
        <v>2022</v>
      </c>
      <c r="F4" s="2" t="s">
        <v>1776</v>
      </c>
      <c r="G4" s="2" t="s">
        <v>3095</v>
      </c>
      <c r="H4" s="2" t="s">
        <v>3092</v>
      </c>
      <c r="I4" s="1" t="s">
        <v>14</v>
      </c>
      <c r="J4" s="1" t="s">
        <v>3096</v>
      </c>
      <c r="K4" s="17"/>
      <c r="L4" s="53">
        <v>0.28899999999999998</v>
      </c>
      <c r="M4" s="39">
        <f>142.55/2</f>
        <v>71.275000000000006</v>
      </c>
      <c r="N4" s="39"/>
      <c r="O4" s="39">
        <f>142.55/2</f>
        <v>71.275000000000006</v>
      </c>
      <c r="P4" s="39"/>
      <c r="Q4" s="39"/>
      <c r="R4" s="39"/>
      <c r="S4" s="39"/>
      <c r="T4" s="39"/>
      <c r="U4" s="39"/>
      <c r="V4" s="39"/>
      <c r="W4" s="60" t="s">
        <v>3097</v>
      </c>
    </row>
    <row r="5" spans="1:23" s="79" customFormat="1" ht="38.25" x14ac:dyDescent="0.2">
      <c r="A5" s="1" t="s">
        <v>149</v>
      </c>
      <c r="B5" s="2" t="s">
        <v>16</v>
      </c>
      <c r="C5" s="2" t="s">
        <v>150</v>
      </c>
      <c r="D5" s="2" t="s">
        <v>129</v>
      </c>
      <c r="E5" s="2">
        <v>2022</v>
      </c>
      <c r="F5" s="2" t="s">
        <v>1779</v>
      </c>
      <c r="G5" s="2" t="s">
        <v>3095</v>
      </c>
      <c r="H5" s="2" t="s">
        <v>3092</v>
      </c>
      <c r="I5" s="1" t="s">
        <v>14</v>
      </c>
      <c r="J5" s="1" t="s">
        <v>3098</v>
      </c>
      <c r="K5" s="17"/>
      <c r="L5" s="53">
        <v>0.28399999999999997</v>
      </c>
      <c r="M5" s="39">
        <f>133.31/2</f>
        <v>66.655000000000001</v>
      </c>
      <c r="N5" s="39"/>
      <c r="O5" s="39">
        <f>133.31/2</f>
        <v>66.655000000000001</v>
      </c>
      <c r="P5" s="39"/>
      <c r="Q5" s="39"/>
      <c r="R5" s="39"/>
      <c r="S5" s="39"/>
      <c r="T5" s="39"/>
      <c r="U5" s="39"/>
      <c r="V5" s="39"/>
      <c r="W5" s="60" t="s">
        <v>3097</v>
      </c>
    </row>
    <row r="6" spans="1:23" s="79" customFormat="1" ht="38.25" x14ac:dyDescent="0.2">
      <c r="A6" s="1" t="s">
        <v>149</v>
      </c>
      <c r="B6" s="2" t="s">
        <v>16</v>
      </c>
      <c r="C6" s="2" t="s">
        <v>150</v>
      </c>
      <c r="D6" s="2" t="s">
        <v>129</v>
      </c>
      <c r="E6" s="2">
        <v>2022</v>
      </c>
      <c r="F6" s="2" t="s">
        <v>1781</v>
      </c>
      <c r="G6" s="2" t="s">
        <v>3095</v>
      </c>
      <c r="H6" s="2" t="s">
        <v>3092</v>
      </c>
      <c r="I6" s="1" t="s">
        <v>14</v>
      </c>
      <c r="J6" s="1" t="s">
        <v>3099</v>
      </c>
      <c r="K6" s="17"/>
      <c r="L6" s="53">
        <v>0.29099999999999998</v>
      </c>
      <c r="M6" s="39">
        <f>129.15/2</f>
        <v>64.575000000000003</v>
      </c>
      <c r="N6" s="39"/>
      <c r="O6" s="39">
        <f>129.15/2</f>
        <v>64.575000000000003</v>
      </c>
      <c r="P6" s="39"/>
      <c r="Q6" s="39"/>
      <c r="R6" s="39"/>
      <c r="S6" s="39"/>
      <c r="T6" s="39"/>
      <c r="U6" s="39"/>
      <c r="V6" s="39"/>
      <c r="W6" s="60" t="s">
        <v>3097</v>
      </c>
    </row>
    <row r="7" spans="1:23" s="79" customFormat="1" ht="38.25" x14ac:dyDescent="0.2">
      <c r="A7" s="1" t="s">
        <v>149</v>
      </c>
      <c r="B7" s="2" t="s">
        <v>16</v>
      </c>
      <c r="C7" s="2" t="s">
        <v>150</v>
      </c>
      <c r="D7" s="2" t="s">
        <v>129</v>
      </c>
      <c r="E7" s="2">
        <v>2022</v>
      </c>
      <c r="F7" s="2" t="s">
        <v>1783</v>
      </c>
      <c r="G7" s="2" t="s">
        <v>3095</v>
      </c>
      <c r="H7" s="2" t="s">
        <v>3092</v>
      </c>
      <c r="I7" s="1" t="s">
        <v>14</v>
      </c>
      <c r="J7" s="1" t="s">
        <v>3100</v>
      </c>
      <c r="K7" s="17"/>
      <c r="L7" s="53">
        <v>0.33</v>
      </c>
      <c r="M7" s="39">
        <f>95.01/2</f>
        <v>47.505000000000003</v>
      </c>
      <c r="N7" s="39"/>
      <c r="O7" s="39">
        <f>95.01/2</f>
        <v>47.505000000000003</v>
      </c>
      <c r="P7" s="39"/>
      <c r="Q7" s="39"/>
      <c r="R7" s="39"/>
      <c r="S7" s="39"/>
      <c r="T7" s="39"/>
      <c r="U7" s="39"/>
      <c r="V7" s="39"/>
      <c r="W7" s="60" t="s">
        <v>3097</v>
      </c>
    </row>
    <row r="8" spans="1:23" s="79" customFormat="1" ht="38.25" x14ac:dyDescent="0.2">
      <c r="A8" s="1" t="s">
        <v>149</v>
      </c>
      <c r="B8" s="2" t="s">
        <v>16</v>
      </c>
      <c r="C8" s="2" t="s">
        <v>150</v>
      </c>
      <c r="D8" s="2" t="s">
        <v>129</v>
      </c>
      <c r="E8" s="2">
        <v>2022</v>
      </c>
      <c r="F8" s="2" t="s">
        <v>1785</v>
      </c>
      <c r="G8" s="2" t="s">
        <v>3095</v>
      </c>
      <c r="H8" s="2" t="s">
        <v>3092</v>
      </c>
      <c r="I8" s="1" t="s">
        <v>14</v>
      </c>
      <c r="J8" s="1" t="s">
        <v>3101</v>
      </c>
      <c r="K8" s="17"/>
      <c r="L8" s="53">
        <v>0.32600000000000001</v>
      </c>
      <c r="M8" s="39">
        <f>128.93/2</f>
        <v>64.465000000000003</v>
      </c>
      <c r="N8" s="39"/>
      <c r="O8" s="39">
        <f>128.93/2</f>
        <v>64.465000000000003</v>
      </c>
      <c r="P8" s="39"/>
      <c r="Q8" s="39"/>
      <c r="R8" s="39"/>
      <c r="S8" s="39"/>
      <c r="T8" s="39"/>
      <c r="U8" s="39"/>
      <c r="V8" s="39"/>
      <c r="W8" s="60" t="s">
        <v>3097</v>
      </c>
    </row>
    <row r="9" spans="1:23" s="79" customFormat="1" ht="38.25" x14ac:dyDescent="0.2">
      <c r="A9" s="1" t="s">
        <v>149</v>
      </c>
      <c r="B9" s="2" t="s">
        <v>16</v>
      </c>
      <c r="C9" s="2" t="s">
        <v>150</v>
      </c>
      <c r="D9" s="2" t="s">
        <v>129</v>
      </c>
      <c r="E9" s="2">
        <v>2022</v>
      </c>
      <c r="F9" s="2" t="s">
        <v>1787</v>
      </c>
      <c r="G9" s="2" t="s">
        <v>3095</v>
      </c>
      <c r="H9" s="2" t="s">
        <v>3092</v>
      </c>
      <c r="I9" s="1" t="s">
        <v>14</v>
      </c>
      <c r="J9" s="1" t="s">
        <v>3102</v>
      </c>
      <c r="K9" s="17"/>
      <c r="L9" s="53">
        <v>0.36799999999999999</v>
      </c>
      <c r="M9" s="39">
        <f>133.74/2</f>
        <v>66.87</v>
      </c>
      <c r="N9" s="39"/>
      <c r="O9" s="39">
        <f>133.74/2</f>
        <v>66.87</v>
      </c>
      <c r="P9" s="39"/>
      <c r="Q9" s="39"/>
      <c r="R9" s="39"/>
      <c r="S9" s="39"/>
      <c r="T9" s="39"/>
      <c r="U9" s="39"/>
      <c r="V9" s="39"/>
      <c r="W9" s="60" t="s">
        <v>3097</v>
      </c>
    </row>
    <row r="10" spans="1:23" s="79" customFormat="1" ht="38.25" x14ac:dyDescent="0.2">
      <c r="A10" s="1" t="s">
        <v>149</v>
      </c>
      <c r="B10" s="2" t="s">
        <v>16</v>
      </c>
      <c r="C10" s="2" t="s">
        <v>150</v>
      </c>
      <c r="D10" s="2" t="s">
        <v>129</v>
      </c>
      <c r="E10" s="2">
        <v>2022</v>
      </c>
      <c r="F10" s="2" t="s">
        <v>1789</v>
      </c>
      <c r="G10" s="2" t="s">
        <v>3095</v>
      </c>
      <c r="H10" s="2" t="s">
        <v>3092</v>
      </c>
      <c r="I10" s="1" t="s">
        <v>14</v>
      </c>
      <c r="J10" s="1" t="s">
        <v>3103</v>
      </c>
      <c r="K10" s="17"/>
      <c r="L10" s="53">
        <v>0.34899999999999998</v>
      </c>
      <c r="M10" s="39">
        <f>129.02/2</f>
        <v>64.510000000000005</v>
      </c>
      <c r="N10" s="39"/>
      <c r="O10" s="39">
        <f>129.02/2</f>
        <v>64.510000000000005</v>
      </c>
      <c r="P10" s="39"/>
      <c r="Q10" s="39"/>
      <c r="R10" s="39"/>
      <c r="S10" s="39"/>
      <c r="T10" s="39"/>
      <c r="U10" s="39"/>
      <c r="V10" s="39"/>
      <c r="W10" s="60" t="s">
        <v>3097</v>
      </c>
    </row>
    <row r="11" spans="1:23" s="79" customFormat="1" ht="38.25" x14ac:dyDescent="0.2">
      <c r="A11" s="1" t="s">
        <v>149</v>
      </c>
      <c r="B11" s="2" t="s">
        <v>16</v>
      </c>
      <c r="C11" s="2" t="s">
        <v>150</v>
      </c>
      <c r="D11" s="2" t="s">
        <v>129</v>
      </c>
      <c r="E11" s="2">
        <v>2022</v>
      </c>
      <c r="F11" s="2" t="s">
        <v>1791</v>
      </c>
      <c r="G11" s="2" t="s">
        <v>3095</v>
      </c>
      <c r="H11" s="2" t="s">
        <v>3092</v>
      </c>
      <c r="I11" s="1" t="s">
        <v>14</v>
      </c>
      <c r="J11" s="1" t="s">
        <v>3104</v>
      </c>
      <c r="K11" s="17"/>
      <c r="L11" s="53">
        <v>0.33600000000000002</v>
      </c>
      <c r="M11" s="39">
        <f>135.42/2</f>
        <v>67.709999999999994</v>
      </c>
      <c r="N11" s="39"/>
      <c r="O11" s="39">
        <f>135.42/2</f>
        <v>67.709999999999994</v>
      </c>
      <c r="P11" s="39"/>
      <c r="Q11" s="39"/>
      <c r="R11" s="39"/>
      <c r="S11" s="39"/>
      <c r="T11" s="39"/>
      <c r="U11" s="39"/>
      <c r="V11" s="39"/>
      <c r="W11" s="60" t="s">
        <v>3097</v>
      </c>
    </row>
    <row r="12" spans="1:23" s="79" customFormat="1" ht="38.25" x14ac:dyDescent="0.2">
      <c r="A12" s="1" t="s">
        <v>149</v>
      </c>
      <c r="B12" s="2" t="s">
        <v>16</v>
      </c>
      <c r="C12" s="2" t="s">
        <v>150</v>
      </c>
      <c r="D12" s="2" t="s">
        <v>129</v>
      </c>
      <c r="E12" s="2">
        <v>2022</v>
      </c>
      <c r="F12" s="2" t="s">
        <v>311</v>
      </c>
      <c r="G12" s="2" t="s">
        <v>3095</v>
      </c>
      <c r="H12" s="2" t="s">
        <v>3092</v>
      </c>
      <c r="I12" s="1" t="s">
        <v>14</v>
      </c>
      <c r="J12" s="1" t="s">
        <v>3105</v>
      </c>
      <c r="K12" s="17"/>
      <c r="L12" s="53">
        <v>0.34899999999999998</v>
      </c>
      <c r="M12" s="39">
        <f>114.05/2</f>
        <v>57.024999999999999</v>
      </c>
      <c r="N12" s="39"/>
      <c r="O12" s="39">
        <f>114.05/2</f>
        <v>57.024999999999999</v>
      </c>
      <c r="P12" s="39"/>
      <c r="Q12" s="39"/>
      <c r="R12" s="39"/>
      <c r="S12" s="39"/>
      <c r="T12" s="39"/>
      <c r="U12" s="39"/>
      <c r="V12" s="39"/>
      <c r="W12" s="60" t="s">
        <v>3097</v>
      </c>
    </row>
    <row r="13" spans="1:23" s="79" customFormat="1" ht="38.25" x14ac:dyDescent="0.2">
      <c r="A13" s="1" t="s">
        <v>149</v>
      </c>
      <c r="B13" s="2" t="s">
        <v>16</v>
      </c>
      <c r="C13" s="2" t="s">
        <v>150</v>
      </c>
      <c r="D13" s="2" t="s">
        <v>129</v>
      </c>
      <c r="E13" s="2">
        <v>2022</v>
      </c>
      <c r="F13" s="2" t="s">
        <v>1794</v>
      </c>
      <c r="G13" s="2" t="s">
        <v>3095</v>
      </c>
      <c r="H13" s="2" t="s">
        <v>3092</v>
      </c>
      <c r="I13" s="1" t="s">
        <v>14</v>
      </c>
      <c r="J13" s="1" t="s">
        <v>3106</v>
      </c>
      <c r="K13" s="17"/>
      <c r="L13" s="53">
        <v>0.312</v>
      </c>
      <c r="M13" s="39">
        <f>117.65/2</f>
        <v>58.825000000000003</v>
      </c>
      <c r="N13" s="39"/>
      <c r="O13" s="39">
        <f>117.65/2</f>
        <v>58.825000000000003</v>
      </c>
      <c r="P13" s="39"/>
      <c r="Q13" s="39"/>
      <c r="R13" s="39"/>
      <c r="S13" s="39"/>
      <c r="T13" s="39"/>
      <c r="U13" s="39"/>
      <c r="V13" s="39"/>
      <c r="W13" s="60" t="s">
        <v>3097</v>
      </c>
    </row>
    <row r="14" spans="1:23" s="79" customFormat="1" ht="38.25" x14ac:dyDescent="0.2">
      <c r="A14" s="1" t="s">
        <v>149</v>
      </c>
      <c r="B14" s="2" t="s">
        <v>16</v>
      </c>
      <c r="C14" s="2" t="s">
        <v>150</v>
      </c>
      <c r="D14" s="2" t="s">
        <v>129</v>
      </c>
      <c r="E14" s="2">
        <v>2022</v>
      </c>
      <c r="F14" s="2" t="s">
        <v>1796</v>
      </c>
      <c r="G14" s="2" t="s">
        <v>3095</v>
      </c>
      <c r="H14" s="2" t="s">
        <v>3092</v>
      </c>
      <c r="I14" s="1" t="s">
        <v>14</v>
      </c>
      <c r="J14" s="1" t="s">
        <v>3107</v>
      </c>
      <c r="K14" s="17"/>
      <c r="L14" s="53">
        <v>0.33500000000000002</v>
      </c>
      <c r="M14" s="39">
        <f>99.72/2</f>
        <v>49.86</v>
      </c>
      <c r="N14" s="39"/>
      <c r="O14" s="39">
        <f>99.72/2</f>
        <v>49.86</v>
      </c>
      <c r="P14" s="39"/>
      <c r="Q14" s="39"/>
      <c r="R14" s="39"/>
      <c r="S14" s="39"/>
      <c r="T14" s="39"/>
      <c r="U14" s="39"/>
      <c r="V14" s="39"/>
      <c r="W14" s="60" t="s">
        <v>3097</v>
      </c>
    </row>
    <row r="15" spans="1:23" s="79" customFormat="1" ht="38.25" x14ac:dyDescent="0.2">
      <c r="A15" s="1" t="s">
        <v>149</v>
      </c>
      <c r="B15" s="2" t="s">
        <v>16</v>
      </c>
      <c r="C15" s="2" t="s">
        <v>150</v>
      </c>
      <c r="D15" s="2" t="s">
        <v>129</v>
      </c>
      <c r="E15" s="2">
        <v>2022</v>
      </c>
      <c r="F15" s="2" t="s">
        <v>1798</v>
      </c>
      <c r="G15" s="2" t="s">
        <v>3095</v>
      </c>
      <c r="H15" s="2" t="s">
        <v>3092</v>
      </c>
      <c r="I15" s="1" t="s">
        <v>14</v>
      </c>
      <c r="J15" s="1" t="s">
        <v>3108</v>
      </c>
      <c r="K15" s="17"/>
      <c r="L15" s="53">
        <v>0.33900000000000002</v>
      </c>
      <c r="M15" s="39">
        <f>107.5/2</f>
        <v>53.75</v>
      </c>
      <c r="N15" s="39"/>
      <c r="O15" s="39">
        <f>107.5/2</f>
        <v>53.75</v>
      </c>
      <c r="P15" s="39"/>
      <c r="Q15" s="39"/>
      <c r="R15" s="39"/>
      <c r="S15" s="39"/>
      <c r="T15" s="39"/>
      <c r="U15" s="39"/>
      <c r="V15" s="39"/>
      <c r="W15" s="60" t="s">
        <v>3097</v>
      </c>
    </row>
    <row r="16" spans="1:23" s="79" customFormat="1" ht="51" x14ac:dyDescent="0.2">
      <c r="A16" s="1" t="s">
        <v>44</v>
      </c>
      <c r="B16" s="2" t="s">
        <v>16</v>
      </c>
      <c r="C16" s="2" t="s">
        <v>45</v>
      </c>
      <c r="D16" s="2" t="s">
        <v>46</v>
      </c>
      <c r="E16" s="2">
        <v>2022</v>
      </c>
      <c r="F16" s="2" t="s">
        <v>1776</v>
      </c>
      <c r="G16" s="2" t="s">
        <v>3095</v>
      </c>
      <c r="H16" s="2" t="s">
        <v>3092</v>
      </c>
      <c r="I16" s="1" t="s">
        <v>14</v>
      </c>
      <c r="J16" s="1" t="s">
        <v>3109</v>
      </c>
      <c r="K16" s="17"/>
      <c r="L16" s="54" t="s">
        <v>3110</v>
      </c>
      <c r="M16" s="39"/>
      <c r="N16" s="39"/>
      <c r="O16" s="39">
        <f>480.22+14.49</f>
        <v>494.71000000000004</v>
      </c>
      <c r="P16" s="39"/>
      <c r="Q16" s="39"/>
      <c r="R16" s="39"/>
      <c r="S16" s="39"/>
      <c r="T16" s="39"/>
      <c r="U16" s="39"/>
      <c r="V16" s="39"/>
      <c r="W16" s="60" t="s">
        <v>1710</v>
      </c>
    </row>
    <row r="17" spans="1:23" s="79" customFormat="1" ht="25.5" x14ac:dyDescent="0.2">
      <c r="A17" s="1" t="s">
        <v>44</v>
      </c>
      <c r="B17" s="2" t="s">
        <v>16</v>
      </c>
      <c r="C17" s="2" t="s">
        <v>45</v>
      </c>
      <c r="D17" s="2" t="s">
        <v>46</v>
      </c>
      <c r="E17" s="2">
        <v>2022</v>
      </c>
      <c r="F17" s="2" t="s">
        <v>1779</v>
      </c>
      <c r="G17" s="2" t="s">
        <v>3095</v>
      </c>
      <c r="H17" s="2" t="s">
        <v>3092</v>
      </c>
      <c r="I17" s="1" t="s">
        <v>14</v>
      </c>
      <c r="J17" s="1" t="s">
        <v>3111</v>
      </c>
      <c r="K17" s="17"/>
      <c r="L17" s="54">
        <v>0.23</v>
      </c>
      <c r="M17" s="39"/>
      <c r="N17" s="39"/>
      <c r="O17" s="39">
        <v>406.69</v>
      </c>
      <c r="P17" s="39"/>
      <c r="Q17" s="39"/>
      <c r="R17" s="39"/>
      <c r="S17" s="39"/>
      <c r="T17" s="39"/>
      <c r="U17" s="39"/>
      <c r="V17" s="39"/>
      <c r="W17" s="60" t="s">
        <v>1710</v>
      </c>
    </row>
    <row r="18" spans="1:23" s="79" customFormat="1" ht="25.5" x14ac:dyDescent="0.2">
      <c r="A18" s="1" t="s">
        <v>44</v>
      </c>
      <c r="B18" s="2" t="s">
        <v>16</v>
      </c>
      <c r="C18" s="2" t="s">
        <v>45</v>
      </c>
      <c r="D18" s="2" t="s">
        <v>46</v>
      </c>
      <c r="E18" s="2">
        <v>2022</v>
      </c>
      <c r="F18" s="2" t="s">
        <v>1781</v>
      </c>
      <c r="G18" s="2" t="s">
        <v>3095</v>
      </c>
      <c r="H18" s="2" t="s">
        <v>3092</v>
      </c>
      <c r="I18" s="1" t="s">
        <v>14</v>
      </c>
      <c r="J18" s="1" t="s">
        <v>3112</v>
      </c>
      <c r="K18" s="17"/>
      <c r="L18" s="53">
        <v>0.23</v>
      </c>
      <c r="M18" s="39"/>
      <c r="N18" s="39"/>
      <c r="O18" s="39">
        <v>530.08000000000004</v>
      </c>
      <c r="P18" s="39"/>
      <c r="Q18" s="39"/>
      <c r="R18" s="39"/>
      <c r="S18" s="39"/>
      <c r="T18" s="39"/>
      <c r="U18" s="39"/>
      <c r="V18" s="39"/>
      <c r="W18" s="60" t="s">
        <v>1710</v>
      </c>
    </row>
    <row r="19" spans="1:23" s="79" customFormat="1" ht="25.5" x14ac:dyDescent="0.2">
      <c r="A19" s="1" t="s">
        <v>44</v>
      </c>
      <c r="B19" s="2" t="s">
        <v>16</v>
      </c>
      <c r="C19" s="2" t="s">
        <v>45</v>
      </c>
      <c r="D19" s="2" t="s">
        <v>46</v>
      </c>
      <c r="E19" s="2">
        <v>2022</v>
      </c>
      <c r="F19" s="2" t="s">
        <v>1783</v>
      </c>
      <c r="G19" s="2" t="s">
        <v>3095</v>
      </c>
      <c r="H19" s="2" t="s">
        <v>3092</v>
      </c>
      <c r="I19" s="1" t="s">
        <v>14</v>
      </c>
      <c r="J19" s="1" t="s">
        <v>3113</v>
      </c>
      <c r="K19" s="17"/>
      <c r="L19" s="53">
        <v>0.23</v>
      </c>
      <c r="M19" s="39"/>
      <c r="N19" s="39"/>
      <c r="O19" s="39">
        <v>376.75</v>
      </c>
      <c r="P19" s="39"/>
      <c r="Q19" s="39"/>
      <c r="R19" s="39"/>
      <c r="S19" s="39"/>
      <c r="T19" s="39"/>
      <c r="U19" s="39"/>
      <c r="V19" s="39"/>
      <c r="W19" s="60" t="s">
        <v>1710</v>
      </c>
    </row>
    <row r="20" spans="1:23" s="79" customFormat="1" ht="25.5" x14ac:dyDescent="0.2">
      <c r="A20" s="1" t="s">
        <v>44</v>
      </c>
      <c r="B20" s="2" t="s">
        <v>16</v>
      </c>
      <c r="C20" s="2" t="s">
        <v>45</v>
      </c>
      <c r="D20" s="2" t="s">
        <v>46</v>
      </c>
      <c r="E20" s="2">
        <v>2022</v>
      </c>
      <c r="F20" s="2" t="s">
        <v>1785</v>
      </c>
      <c r="G20" s="2" t="s">
        <v>3095</v>
      </c>
      <c r="H20" s="2" t="s">
        <v>3092</v>
      </c>
      <c r="I20" s="1" t="s">
        <v>14</v>
      </c>
      <c r="J20" s="1" t="s">
        <v>3114</v>
      </c>
      <c r="K20" s="17"/>
      <c r="L20" s="53">
        <v>0.23</v>
      </c>
      <c r="M20" s="39"/>
      <c r="N20" s="39"/>
      <c r="O20" s="39">
        <v>730.78</v>
      </c>
      <c r="P20" s="39"/>
      <c r="Q20" s="39"/>
      <c r="R20" s="39"/>
      <c r="S20" s="39"/>
      <c r="T20" s="39"/>
      <c r="U20" s="39"/>
      <c r="V20" s="39"/>
      <c r="W20" s="60" t="s">
        <v>1710</v>
      </c>
    </row>
    <row r="21" spans="1:23" s="79" customFormat="1" ht="25.5" x14ac:dyDescent="0.2">
      <c r="A21" s="1" t="s">
        <v>44</v>
      </c>
      <c r="B21" s="2" t="s">
        <v>16</v>
      </c>
      <c r="C21" s="2" t="s">
        <v>45</v>
      </c>
      <c r="D21" s="2" t="s">
        <v>46</v>
      </c>
      <c r="E21" s="2">
        <v>2022</v>
      </c>
      <c r="F21" s="2" t="s">
        <v>1787</v>
      </c>
      <c r="G21" s="2" t="s">
        <v>3095</v>
      </c>
      <c r="H21" s="2" t="s">
        <v>3092</v>
      </c>
      <c r="I21" s="1" t="s">
        <v>14</v>
      </c>
      <c r="J21" s="1" t="s">
        <v>3115</v>
      </c>
      <c r="K21" s="17"/>
      <c r="L21" s="53">
        <v>0.23</v>
      </c>
      <c r="M21" s="39"/>
      <c r="N21" s="39"/>
      <c r="O21" s="39">
        <v>591.44000000000005</v>
      </c>
      <c r="P21" s="39"/>
      <c r="Q21" s="39"/>
      <c r="R21" s="39"/>
      <c r="S21" s="39"/>
      <c r="T21" s="39"/>
      <c r="U21" s="39"/>
      <c r="V21" s="39"/>
      <c r="W21" s="60" t="s">
        <v>1710</v>
      </c>
    </row>
    <row r="22" spans="1:23" s="79" customFormat="1" ht="25.5" x14ac:dyDescent="0.2">
      <c r="A22" s="1" t="s">
        <v>44</v>
      </c>
      <c r="B22" s="2" t="s">
        <v>16</v>
      </c>
      <c r="C22" s="2" t="s">
        <v>45</v>
      </c>
      <c r="D22" s="2" t="s">
        <v>46</v>
      </c>
      <c r="E22" s="2">
        <v>2022</v>
      </c>
      <c r="F22" s="2" t="s">
        <v>1789</v>
      </c>
      <c r="G22" s="2" t="s">
        <v>3095</v>
      </c>
      <c r="H22" s="2" t="s">
        <v>3092</v>
      </c>
      <c r="I22" s="1" t="s">
        <v>14</v>
      </c>
      <c r="J22" s="1" t="s">
        <v>3116</v>
      </c>
      <c r="K22" s="17"/>
      <c r="L22" s="53">
        <v>0.23</v>
      </c>
      <c r="M22" s="39"/>
      <c r="N22" s="39"/>
      <c r="O22" s="39">
        <v>519.66</v>
      </c>
      <c r="P22" s="39"/>
      <c r="Q22" s="39"/>
      <c r="R22" s="39"/>
      <c r="S22" s="39"/>
      <c r="T22" s="39"/>
      <c r="U22" s="39"/>
      <c r="V22" s="39"/>
      <c r="W22" s="60" t="s">
        <v>1710</v>
      </c>
    </row>
    <row r="23" spans="1:23" s="79" customFormat="1" ht="51" x14ac:dyDescent="0.2">
      <c r="A23" s="1" t="s">
        <v>44</v>
      </c>
      <c r="B23" s="2" t="s">
        <v>16</v>
      </c>
      <c r="C23" s="2" t="s">
        <v>45</v>
      </c>
      <c r="D23" s="2" t="s">
        <v>46</v>
      </c>
      <c r="E23" s="2">
        <v>2022</v>
      </c>
      <c r="F23" s="2" t="s">
        <v>1791</v>
      </c>
      <c r="G23" s="2" t="s">
        <v>3095</v>
      </c>
      <c r="H23" s="2" t="s">
        <v>3092</v>
      </c>
      <c r="I23" s="1" t="s">
        <v>14</v>
      </c>
      <c r="J23" s="1" t="s">
        <v>3117</v>
      </c>
      <c r="K23" s="17"/>
      <c r="L23" s="54">
        <f>((0.23*165.69)+(0.34*352.67))/(165.69+352.67)</f>
        <v>0.30483930087198086</v>
      </c>
      <c r="M23" s="39"/>
      <c r="N23" s="39"/>
      <c r="O23" s="39">
        <v>165.69</v>
      </c>
      <c r="P23" s="39"/>
      <c r="Q23" s="39"/>
      <c r="R23" s="39"/>
      <c r="S23" s="39">
        <v>352.67</v>
      </c>
      <c r="T23" s="39"/>
      <c r="U23" s="39"/>
      <c r="V23" s="39"/>
      <c r="W23" s="60" t="s">
        <v>1710</v>
      </c>
    </row>
    <row r="24" spans="1:23" s="79" customFormat="1" ht="38.25" x14ac:dyDescent="0.2">
      <c r="A24" s="1" t="s">
        <v>44</v>
      </c>
      <c r="B24" s="2" t="s">
        <v>16</v>
      </c>
      <c r="C24" s="2" t="s">
        <v>45</v>
      </c>
      <c r="D24" s="2" t="s">
        <v>46</v>
      </c>
      <c r="E24" s="2">
        <v>2022</v>
      </c>
      <c r="F24" s="2" t="s">
        <v>311</v>
      </c>
      <c r="G24" s="2" t="s">
        <v>3095</v>
      </c>
      <c r="H24" s="2" t="s">
        <v>3092</v>
      </c>
      <c r="I24" s="1" t="s">
        <v>14</v>
      </c>
      <c r="J24" s="1" t="s">
        <v>3118</v>
      </c>
      <c r="K24" s="17"/>
      <c r="L24" s="54">
        <f>((0.23*O24)+(0.34*S24))/(O24+S24)</f>
        <v>0.2853388090349076</v>
      </c>
      <c r="M24" s="39"/>
      <c r="N24" s="39"/>
      <c r="O24" s="39">
        <v>244.42</v>
      </c>
      <c r="P24" s="39"/>
      <c r="Q24" s="39"/>
      <c r="R24" s="39"/>
      <c r="S24" s="3">
        <v>247.45</v>
      </c>
      <c r="T24" s="39"/>
      <c r="U24" s="39"/>
      <c r="V24" s="39"/>
      <c r="W24" s="60" t="s">
        <v>1710</v>
      </c>
    </row>
    <row r="25" spans="1:23" s="79" customFormat="1" ht="51" x14ac:dyDescent="0.2">
      <c r="A25" s="1" t="s">
        <v>44</v>
      </c>
      <c r="B25" s="2" t="s">
        <v>16</v>
      </c>
      <c r="C25" s="2" t="s">
        <v>45</v>
      </c>
      <c r="D25" s="2" t="s">
        <v>46</v>
      </c>
      <c r="E25" s="2">
        <v>2022</v>
      </c>
      <c r="F25" s="2" t="s">
        <v>1794</v>
      </c>
      <c r="G25" s="2" t="s">
        <v>3095</v>
      </c>
      <c r="H25" s="2" t="s">
        <v>3092</v>
      </c>
      <c r="I25" s="1" t="s">
        <v>14</v>
      </c>
      <c r="J25" s="1" t="s">
        <v>3119</v>
      </c>
      <c r="K25" s="17"/>
      <c r="L25" s="54">
        <v>0.23</v>
      </c>
      <c r="M25" s="39"/>
      <c r="N25" s="39"/>
      <c r="O25" s="39">
        <f>510*0.5</f>
        <v>255</v>
      </c>
      <c r="P25" s="39"/>
      <c r="Q25" s="39"/>
      <c r="R25" s="39"/>
      <c r="S25" s="39">
        <f>510*0.5</f>
        <v>255</v>
      </c>
      <c r="T25" s="39"/>
      <c r="U25" s="39"/>
      <c r="V25" s="39"/>
      <c r="W25" s="60" t="s">
        <v>3120</v>
      </c>
    </row>
    <row r="26" spans="1:23" s="79" customFormat="1" ht="38.25" x14ac:dyDescent="0.2">
      <c r="A26" s="1" t="s">
        <v>44</v>
      </c>
      <c r="B26" s="2" t="s">
        <v>16</v>
      </c>
      <c r="C26" s="2" t="s">
        <v>45</v>
      </c>
      <c r="D26" s="2" t="s">
        <v>46</v>
      </c>
      <c r="E26" s="2">
        <v>2022</v>
      </c>
      <c r="F26" s="2" t="s">
        <v>1796</v>
      </c>
      <c r="G26" s="2" t="s">
        <v>3095</v>
      </c>
      <c r="H26" s="2" t="s">
        <v>3092</v>
      </c>
      <c r="I26" s="1" t="s">
        <v>14</v>
      </c>
      <c r="J26" s="1" t="s">
        <v>3121</v>
      </c>
      <c r="K26" s="17"/>
      <c r="L26" s="54">
        <f>((0.23*O26)+(0.34*S26))/(O26+S26)</f>
        <v>0.2630595468823097</v>
      </c>
      <c r="M26" s="39"/>
      <c r="N26" s="39"/>
      <c r="O26" s="39">
        <v>313.98</v>
      </c>
      <c r="P26" s="39"/>
      <c r="Q26" s="39"/>
      <c r="R26" s="39"/>
      <c r="S26" s="39">
        <v>134.91</v>
      </c>
      <c r="T26" s="39"/>
      <c r="U26" s="39"/>
      <c r="V26" s="39"/>
      <c r="W26" s="60" t="s">
        <v>1710</v>
      </c>
    </row>
    <row r="27" spans="1:23" s="79" customFormat="1" ht="25.5" x14ac:dyDescent="0.2">
      <c r="A27" s="1" t="s">
        <v>44</v>
      </c>
      <c r="B27" s="2" t="s">
        <v>16</v>
      </c>
      <c r="C27" s="2" t="s">
        <v>45</v>
      </c>
      <c r="D27" s="2" t="s">
        <v>46</v>
      </c>
      <c r="E27" s="2">
        <v>2022</v>
      </c>
      <c r="F27" s="2" t="s">
        <v>1798</v>
      </c>
      <c r="G27" s="2" t="s">
        <v>3095</v>
      </c>
      <c r="H27" s="2" t="s">
        <v>3092</v>
      </c>
      <c r="I27" s="1" t="s">
        <v>14</v>
      </c>
      <c r="J27" s="1" t="s">
        <v>3122</v>
      </c>
      <c r="K27" s="17"/>
      <c r="L27" s="54">
        <v>0.23</v>
      </c>
      <c r="M27" s="39"/>
      <c r="N27" s="39"/>
      <c r="O27" s="39">
        <v>377.9</v>
      </c>
      <c r="P27" s="39"/>
      <c r="Q27" s="39"/>
      <c r="R27" s="39"/>
      <c r="S27" s="39"/>
      <c r="T27" s="39"/>
      <c r="U27" s="39"/>
      <c r="V27" s="39"/>
      <c r="W27" s="60" t="s">
        <v>1710</v>
      </c>
    </row>
    <row r="28" spans="1:23" s="79" customFormat="1" ht="127.5" x14ac:dyDescent="0.2">
      <c r="A28" s="1" t="s">
        <v>3123</v>
      </c>
      <c r="B28" s="2" t="s">
        <v>196</v>
      </c>
      <c r="C28" s="2" t="s">
        <v>3124</v>
      </c>
      <c r="D28" s="2" t="s">
        <v>92</v>
      </c>
      <c r="E28" s="2">
        <v>2022</v>
      </c>
      <c r="F28" s="2" t="s">
        <v>1785</v>
      </c>
      <c r="G28" s="2" t="s">
        <v>3092</v>
      </c>
      <c r="H28" s="2" t="s">
        <v>3092</v>
      </c>
      <c r="I28" s="1" t="s">
        <v>3125</v>
      </c>
      <c r="J28" s="1" t="s">
        <v>3126</v>
      </c>
      <c r="K28" s="17"/>
      <c r="L28" s="54">
        <v>0.24199999999999999</v>
      </c>
      <c r="M28" s="39"/>
      <c r="N28" s="39"/>
      <c r="O28" s="39">
        <f>388.94+277.42+69.73</f>
        <v>736.09</v>
      </c>
      <c r="P28" s="39"/>
      <c r="Q28" s="39"/>
      <c r="R28" s="39"/>
      <c r="S28" s="39"/>
      <c r="T28" s="39"/>
      <c r="U28" s="39"/>
      <c r="V28" s="39"/>
      <c r="W28" s="60" t="s">
        <v>1743</v>
      </c>
    </row>
    <row r="29" spans="1:23" s="79" customFormat="1" ht="38.25" x14ac:dyDescent="0.2">
      <c r="A29" s="1" t="s">
        <v>101</v>
      </c>
      <c r="B29" s="2" t="s">
        <v>38</v>
      </c>
      <c r="C29" s="2" t="s">
        <v>102</v>
      </c>
      <c r="D29" s="2" t="s">
        <v>100</v>
      </c>
      <c r="E29" s="2">
        <v>2022</v>
      </c>
      <c r="F29" s="2" t="s">
        <v>1776</v>
      </c>
      <c r="G29" s="2" t="s">
        <v>3095</v>
      </c>
      <c r="H29" s="2" t="s">
        <v>3092</v>
      </c>
      <c r="I29" s="1" t="s">
        <v>14</v>
      </c>
      <c r="J29" s="1" t="s">
        <v>3127</v>
      </c>
      <c r="K29" s="17"/>
      <c r="L29" s="54">
        <v>0.17</v>
      </c>
      <c r="M29" s="39"/>
      <c r="N29" s="39"/>
      <c r="O29" s="39">
        <v>1650.68</v>
      </c>
      <c r="P29" s="39"/>
      <c r="Q29" s="39"/>
      <c r="R29" s="39"/>
      <c r="S29" s="39"/>
      <c r="T29" s="39"/>
      <c r="U29" s="39"/>
      <c r="V29" s="39"/>
      <c r="W29" s="60" t="s">
        <v>1710</v>
      </c>
    </row>
    <row r="30" spans="1:23" s="79" customFormat="1" ht="38.25" x14ac:dyDescent="0.2">
      <c r="A30" s="1" t="s">
        <v>101</v>
      </c>
      <c r="B30" s="2" t="s">
        <v>38</v>
      </c>
      <c r="C30" s="2" t="s">
        <v>102</v>
      </c>
      <c r="D30" s="2" t="s">
        <v>100</v>
      </c>
      <c r="E30" s="2">
        <v>2022</v>
      </c>
      <c r="F30" s="2" t="s">
        <v>1779</v>
      </c>
      <c r="G30" s="2" t="s">
        <v>3095</v>
      </c>
      <c r="H30" s="2" t="s">
        <v>3092</v>
      </c>
      <c r="I30" s="1" t="s">
        <v>14</v>
      </c>
      <c r="J30" s="1" t="s">
        <v>3128</v>
      </c>
      <c r="K30" s="17"/>
      <c r="L30" s="54">
        <v>0.17100000000000001</v>
      </c>
      <c r="M30" s="39"/>
      <c r="N30" s="39"/>
      <c r="O30" s="39">
        <v>1694.19</v>
      </c>
      <c r="P30" s="39"/>
      <c r="Q30" s="39"/>
      <c r="R30" s="39"/>
      <c r="S30" s="39"/>
      <c r="T30" s="39"/>
      <c r="U30" s="39"/>
      <c r="V30" s="39"/>
      <c r="W30" s="60" t="s">
        <v>1710</v>
      </c>
    </row>
    <row r="31" spans="1:23" s="79" customFormat="1" ht="51" x14ac:dyDescent="0.2">
      <c r="A31" s="1" t="s">
        <v>101</v>
      </c>
      <c r="B31" s="2" t="s">
        <v>38</v>
      </c>
      <c r="C31" s="2" t="s">
        <v>102</v>
      </c>
      <c r="D31" s="2" t="s">
        <v>100</v>
      </c>
      <c r="E31" s="2">
        <v>2022</v>
      </c>
      <c r="F31" s="2" t="s">
        <v>1781</v>
      </c>
      <c r="G31" s="2" t="s">
        <v>3095</v>
      </c>
      <c r="H31" s="2" t="s">
        <v>3092</v>
      </c>
      <c r="I31" s="1" t="s">
        <v>14</v>
      </c>
      <c r="J31" s="1" t="s">
        <v>3129</v>
      </c>
      <c r="K31" s="17"/>
      <c r="L31" s="54">
        <v>0.17499999999999999</v>
      </c>
      <c r="M31" s="39"/>
      <c r="N31" s="39"/>
      <c r="O31" s="39">
        <v>1648.99</v>
      </c>
      <c r="P31" s="39">
        <v>127.83</v>
      </c>
      <c r="Q31" s="39"/>
      <c r="R31" s="39"/>
      <c r="S31" s="39"/>
      <c r="T31" s="39"/>
      <c r="U31" s="39"/>
      <c r="V31" s="39"/>
      <c r="W31" s="60" t="s">
        <v>1710</v>
      </c>
    </row>
    <row r="32" spans="1:23" s="79" customFormat="1" ht="51" x14ac:dyDescent="0.2">
      <c r="A32" s="1" t="s">
        <v>101</v>
      </c>
      <c r="B32" s="2" t="s">
        <v>38</v>
      </c>
      <c r="C32" s="2" t="s">
        <v>102</v>
      </c>
      <c r="D32" s="2" t="s">
        <v>100</v>
      </c>
      <c r="E32" s="2">
        <v>2022</v>
      </c>
      <c r="F32" s="2" t="s">
        <v>1783</v>
      </c>
      <c r="G32" s="2" t="s">
        <v>3095</v>
      </c>
      <c r="H32" s="2" t="s">
        <v>3092</v>
      </c>
      <c r="I32" s="1" t="s">
        <v>14</v>
      </c>
      <c r="J32" s="1" t="s">
        <v>3130</v>
      </c>
      <c r="K32" s="17"/>
      <c r="L32" s="54">
        <v>0.185</v>
      </c>
      <c r="M32" s="39"/>
      <c r="N32" s="39"/>
      <c r="O32" s="39">
        <v>1407.82</v>
      </c>
      <c r="P32" s="39">
        <v>376.71</v>
      </c>
      <c r="Q32" s="39"/>
      <c r="R32" s="39"/>
      <c r="S32" s="39"/>
      <c r="T32" s="39"/>
      <c r="U32" s="39"/>
      <c r="V32" s="39"/>
      <c r="W32" s="60" t="s">
        <v>1710</v>
      </c>
    </row>
    <row r="33" spans="1:23" s="79" customFormat="1" ht="38.25" x14ac:dyDescent="0.2">
      <c r="A33" s="1" t="s">
        <v>101</v>
      </c>
      <c r="B33" s="2" t="s">
        <v>38</v>
      </c>
      <c r="C33" s="2" t="s">
        <v>102</v>
      </c>
      <c r="D33" s="2" t="s">
        <v>100</v>
      </c>
      <c r="E33" s="2">
        <v>2022</v>
      </c>
      <c r="F33" s="2" t="s">
        <v>1785</v>
      </c>
      <c r="G33" s="2" t="s">
        <v>3095</v>
      </c>
      <c r="H33" s="2" t="s">
        <v>3092</v>
      </c>
      <c r="I33" s="1" t="s">
        <v>14</v>
      </c>
      <c r="J33" s="1" t="s">
        <v>3131</v>
      </c>
      <c r="K33" s="17"/>
      <c r="L33" s="54">
        <v>0.17899999999999999</v>
      </c>
      <c r="M33" s="39"/>
      <c r="N33" s="39"/>
      <c r="O33" s="39">
        <v>1976.57</v>
      </c>
      <c r="P33" s="39"/>
      <c r="Q33" s="39"/>
      <c r="R33" s="39"/>
      <c r="S33" s="39"/>
      <c r="T33" s="39"/>
      <c r="U33" s="39"/>
      <c r="V33" s="39"/>
      <c r="W33" s="60" t="s">
        <v>1710</v>
      </c>
    </row>
    <row r="34" spans="1:23" s="79" customFormat="1" ht="38.25" x14ac:dyDescent="0.2">
      <c r="A34" s="1" t="s">
        <v>101</v>
      </c>
      <c r="B34" s="2" t="s">
        <v>38</v>
      </c>
      <c r="C34" s="2" t="s">
        <v>102</v>
      </c>
      <c r="D34" s="2" t="s">
        <v>100</v>
      </c>
      <c r="E34" s="2">
        <v>2022</v>
      </c>
      <c r="F34" s="2" t="s">
        <v>1787</v>
      </c>
      <c r="G34" s="2" t="s">
        <v>3095</v>
      </c>
      <c r="H34" s="2" t="s">
        <v>3092</v>
      </c>
      <c r="I34" s="1" t="s">
        <v>14</v>
      </c>
      <c r="J34" s="1" t="s">
        <v>3132</v>
      </c>
      <c r="K34" s="17"/>
      <c r="L34" s="54">
        <v>0.19800000000000001</v>
      </c>
      <c r="M34" s="39"/>
      <c r="N34" s="39"/>
      <c r="O34" s="39">
        <v>1848.72</v>
      </c>
      <c r="P34" s="39"/>
      <c r="Q34" s="39"/>
      <c r="R34" s="39"/>
      <c r="S34" s="39"/>
      <c r="T34" s="39"/>
      <c r="U34" s="39"/>
      <c r="V34" s="39"/>
      <c r="W34" s="60" t="s">
        <v>1710</v>
      </c>
    </row>
    <row r="35" spans="1:23" s="79" customFormat="1" ht="38.25" x14ac:dyDescent="0.2">
      <c r="A35" s="1" t="s">
        <v>101</v>
      </c>
      <c r="B35" s="2" t="s">
        <v>38</v>
      </c>
      <c r="C35" s="2" t="s">
        <v>102</v>
      </c>
      <c r="D35" s="2" t="s">
        <v>100</v>
      </c>
      <c r="E35" s="2">
        <v>2022</v>
      </c>
      <c r="F35" s="2" t="s">
        <v>1789</v>
      </c>
      <c r="G35" s="2" t="s">
        <v>3095</v>
      </c>
      <c r="H35" s="2" t="s">
        <v>3092</v>
      </c>
      <c r="I35" s="1" t="s">
        <v>14</v>
      </c>
      <c r="J35" s="1" t="s">
        <v>3133</v>
      </c>
      <c r="K35" s="17"/>
      <c r="L35" s="54">
        <v>0.187</v>
      </c>
      <c r="M35" s="39"/>
      <c r="N35" s="39"/>
      <c r="O35" s="39">
        <v>1463.81</v>
      </c>
      <c r="P35" s="39"/>
      <c r="Q35" s="39"/>
      <c r="R35" s="39"/>
      <c r="S35" s="39"/>
      <c r="T35" s="39"/>
      <c r="U35" s="39"/>
      <c r="V35" s="39"/>
      <c r="W35" s="60" t="s">
        <v>1710</v>
      </c>
    </row>
    <row r="36" spans="1:23" s="79" customFormat="1" ht="51" x14ac:dyDescent="0.2">
      <c r="A36" s="1" t="s">
        <v>101</v>
      </c>
      <c r="B36" s="2" t="s">
        <v>38</v>
      </c>
      <c r="C36" s="2" t="s">
        <v>102</v>
      </c>
      <c r="D36" s="2" t="s">
        <v>100</v>
      </c>
      <c r="E36" s="2">
        <v>2022</v>
      </c>
      <c r="F36" s="2" t="s">
        <v>1791</v>
      </c>
      <c r="G36" s="2" t="s">
        <v>3095</v>
      </c>
      <c r="H36" s="2" t="s">
        <v>3092</v>
      </c>
      <c r="I36" s="1" t="s">
        <v>14</v>
      </c>
      <c r="J36" s="1" t="s">
        <v>3134</v>
      </c>
      <c r="K36" s="17"/>
      <c r="L36" s="54">
        <v>0.185</v>
      </c>
      <c r="M36" s="39"/>
      <c r="N36" s="39"/>
      <c r="O36" s="39">
        <v>1599.25</v>
      </c>
      <c r="P36" s="39">
        <v>341.43</v>
      </c>
      <c r="Q36" s="39"/>
      <c r="R36" s="39"/>
      <c r="S36" s="39"/>
      <c r="T36" s="39"/>
      <c r="U36" s="39"/>
      <c r="V36" s="39"/>
      <c r="W36" s="60" t="s">
        <v>1710</v>
      </c>
    </row>
    <row r="37" spans="1:23" s="79" customFormat="1" ht="51" x14ac:dyDescent="0.2">
      <c r="A37" s="1" t="s">
        <v>101</v>
      </c>
      <c r="B37" s="2" t="s">
        <v>38</v>
      </c>
      <c r="C37" s="2" t="s">
        <v>102</v>
      </c>
      <c r="D37" s="2" t="s">
        <v>100</v>
      </c>
      <c r="E37" s="2">
        <v>2022</v>
      </c>
      <c r="F37" s="2" t="s">
        <v>311</v>
      </c>
      <c r="G37" s="2" t="s">
        <v>3095</v>
      </c>
      <c r="H37" s="2" t="s">
        <v>3092</v>
      </c>
      <c r="I37" s="1" t="s">
        <v>14</v>
      </c>
      <c r="J37" s="1" t="s">
        <v>3135</v>
      </c>
      <c r="K37" s="17"/>
      <c r="L37" s="54">
        <v>0.186</v>
      </c>
      <c r="M37" s="39"/>
      <c r="N37" s="39"/>
      <c r="O37" s="39">
        <v>1099.8</v>
      </c>
      <c r="P37" s="39">
        <v>378.99</v>
      </c>
      <c r="Q37" s="39"/>
      <c r="R37" s="39"/>
      <c r="S37" s="39"/>
      <c r="T37" s="39"/>
      <c r="U37" s="39"/>
      <c r="V37" s="39"/>
      <c r="W37" s="60" t="s">
        <v>1710</v>
      </c>
    </row>
    <row r="38" spans="1:23" s="79" customFormat="1" ht="38.25" x14ac:dyDescent="0.2">
      <c r="A38" s="1" t="s">
        <v>101</v>
      </c>
      <c r="B38" s="2" t="s">
        <v>38</v>
      </c>
      <c r="C38" s="2" t="s">
        <v>102</v>
      </c>
      <c r="D38" s="2" t="s">
        <v>100</v>
      </c>
      <c r="E38" s="2">
        <v>2022</v>
      </c>
      <c r="F38" s="2" t="s">
        <v>1794</v>
      </c>
      <c r="G38" s="2" t="s">
        <v>3095</v>
      </c>
      <c r="H38" s="2" t="s">
        <v>3092</v>
      </c>
      <c r="I38" s="1" t="s">
        <v>14</v>
      </c>
      <c r="J38" s="1" t="s">
        <v>3136</v>
      </c>
      <c r="K38" s="17"/>
      <c r="L38" s="54">
        <v>0.17699999999999999</v>
      </c>
      <c r="M38" s="39"/>
      <c r="N38" s="39"/>
      <c r="O38" s="39">
        <v>1901.9</v>
      </c>
      <c r="P38" s="39"/>
      <c r="Q38" s="39"/>
      <c r="R38" s="39"/>
      <c r="S38" s="39"/>
      <c r="T38" s="39"/>
      <c r="U38" s="39"/>
      <c r="V38" s="39"/>
      <c r="W38" s="60" t="s">
        <v>1710</v>
      </c>
    </row>
    <row r="39" spans="1:23" s="79" customFormat="1" ht="51" x14ac:dyDescent="0.2">
      <c r="A39" s="1" t="s">
        <v>101</v>
      </c>
      <c r="B39" s="2" t="s">
        <v>38</v>
      </c>
      <c r="C39" s="2" t="s">
        <v>102</v>
      </c>
      <c r="D39" s="2" t="s">
        <v>100</v>
      </c>
      <c r="E39" s="2">
        <v>2022</v>
      </c>
      <c r="F39" s="2" t="s">
        <v>1796</v>
      </c>
      <c r="G39" s="2" t="s">
        <v>3095</v>
      </c>
      <c r="H39" s="2" t="s">
        <v>3092</v>
      </c>
      <c r="I39" s="1" t="s">
        <v>14</v>
      </c>
      <c r="J39" s="1" t="s">
        <v>3137</v>
      </c>
      <c r="K39" s="17"/>
      <c r="L39" s="54">
        <v>0.17299999999999999</v>
      </c>
      <c r="M39" s="15"/>
      <c r="N39" s="15"/>
      <c r="O39" s="15">
        <v>1558.11</v>
      </c>
      <c r="P39" s="15">
        <v>363.64</v>
      </c>
      <c r="Q39" s="15"/>
      <c r="R39" s="15"/>
      <c r="S39" s="15"/>
      <c r="T39" s="15"/>
      <c r="U39" s="15"/>
      <c r="V39" s="15"/>
      <c r="W39" s="60" t="s">
        <v>1710</v>
      </c>
    </row>
    <row r="40" spans="1:23" s="79" customFormat="1" ht="63.75" x14ac:dyDescent="0.2">
      <c r="A40" s="1" t="s">
        <v>101</v>
      </c>
      <c r="B40" s="2" t="s">
        <v>38</v>
      </c>
      <c r="C40" s="2" t="s">
        <v>102</v>
      </c>
      <c r="D40" s="2" t="s">
        <v>100</v>
      </c>
      <c r="E40" s="2">
        <v>2022</v>
      </c>
      <c r="F40" s="2" t="s">
        <v>1798</v>
      </c>
      <c r="G40" s="2" t="s">
        <v>3095</v>
      </c>
      <c r="H40" s="2" t="s">
        <v>3092</v>
      </c>
      <c r="I40" s="1" t="s">
        <v>14</v>
      </c>
      <c r="J40" s="1" t="s">
        <v>3138</v>
      </c>
      <c r="K40" s="17"/>
      <c r="L40" s="54">
        <v>0.16900000000000001</v>
      </c>
      <c r="M40" s="39"/>
      <c r="N40" s="39"/>
      <c r="O40" s="39">
        <v>1424.64</v>
      </c>
      <c r="P40" s="39">
        <v>568.55999999999995</v>
      </c>
      <c r="Q40" s="39"/>
      <c r="R40" s="39"/>
      <c r="S40" s="39"/>
      <c r="T40" s="39"/>
      <c r="U40" s="39"/>
      <c r="V40" s="39"/>
      <c r="W40" s="60" t="s">
        <v>1710</v>
      </c>
    </row>
    <row r="41" spans="1:23" s="79" customFormat="1" ht="114.75" x14ac:dyDescent="0.2">
      <c r="A41" s="1" t="s">
        <v>990</v>
      </c>
      <c r="B41" s="2" t="s">
        <v>196</v>
      </c>
      <c r="C41" s="2" t="s">
        <v>74</v>
      </c>
      <c r="D41" s="2" t="s">
        <v>74</v>
      </c>
      <c r="E41" s="2">
        <v>2022</v>
      </c>
      <c r="F41" s="2" t="s">
        <v>1789</v>
      </c>
      <c r="G41" s="2" t="s">
        <v>3092</v>
      </c>
      <c r="H41" s="2" t="s">
        <v>3092</v>
      </c>
      <c r="I41" s="1" t="s">
        <v>3139</v>
      </c>
      <c r="J41" s="1" t="s">
        <v>3140</v>
      </c>
      <c r="K41" s="17"/>
      <c r="L41" s="54">
        <v>0.24529999999999999</v>
      </c>
      <c r="M41" s="15"/>
      <c r="N41" s="15"/>
      <c r="O41" s="15">
        <f>3000*0.08/L41</f>
        <v>978.39380350591114</v>
      </c>
      <c r="P41" s="15"/>
      <c r="Q41" s="15"/>
      <c r="R41" s="15"/>
      <c r="S41" s="15"/>
      <c r="T41" s="15"/>
      <c r="U41" s="15"/>
      <c r="V41" s="15"/>
      <c r="W41" s="60" t="s">
        <v>3141</v>
      </c>
    </row>
    <row r="42" spans="1:23" s="79" customFormat="1" ht="153" x14ac:dyDescent="0.2">
      <c r="A42" s="1" t="s">
        <v>990</v>
      </c>
      <c r="B42" s="2" t="s">
        <v>196</v>
      </c>
      <c r="C42" s="2" t="s">
        <v>74</v>
      </c>
      <c r="D42" s="2" t="s">
        <v>74</v>
      </c>
      <c r="E42" s="2">
        <v>2022</v>
      </c>
      <c r="F42" s="2" t="s">
        <v>1791</v>
      </c>
      <c r="G42" s="2" t="s">
        <v>3092</v>
      </c>
      <c r="H42" s="2" t="s">
        <v>3092</v>
      </c>
      <c r="I42" s="1" t="s">
        <v>3142</v>
      </c>
      <c r="J42" s="1" t="s">
        <v>3143</v>
      </c>
      <c r="K42" s="17"/>
      <c r="L42" s="54">
        <v>0.245</v>
      </c>
      <c r="M42" s="15"/>
      <c r="N42" s="15"/>
      <c r="O42" s="15">
        <f>(11900+3900)*0.08/L42</f>
        <v>5159.1836734693879</v>
      </c>
      <c r="P42" s="15"/>
      <c r="Q42" s="15"/>
      <c r="R42" s="15"/>
      <c r="S42" s="15"/>
      <c r="T42" s="15"/>
      <c r="U42" s="15"/>
      <c r="V42" s="15"/>
      <c r="W42" s="60" t="s">
        <v>3144</v>
      </c>
    </row>
    <row r="43" spans="1:23" s="79" customFormat="1" ht="102" x14ac:dyDescent="0.2">
      <c r="A43" s="1" t="s">
        <v>990</v>
      </c>
      <c r="B43" s="2" t="s">
        <v>196</v>
      </c>
      <c r="C43" s="2" t="s">
        <v>74</v>
      </c>
      <c r="D43" s="2" t="s">
        <v>74</v>
      </c>
      <c r="E43" s="2">
        <v>2022</v>
      </c>
      <c r="F43" s="2" t="s">
        <v>311</v>
      </c>
      <c r="G43" s="2" t="s">
        <v>3092</v>
      </c>
      <c r="H43" s="2" t="s">
        <v>3092</v>
      </c>
      <c r="I43" s="1" t="s">
        <v>3145</v>
      </c>
      <c r="J43" s="1" t="s">
        <v>3146</v>
      </c>
      <c r="K43" s="17"/>
      <c r="L43" s="54">
        <v>0.245</v>
      </c>
      <c r="M43" s="15"/>
      <c r="N43" s="15"/>
      <c r="O43" s="15">
        <f>11775*0.08/L43</f>
        <v>3844.8979591836737</v>
      </c>
      <c r="P43" s="15"/>
      <c r="Q43" s="15"/>
      <c r="R43" s="15"/>
      <c r="S43" s="15"/>
      <c r="T43" s="15"/>
      <c r="U43" s="15"/>
      <c r="V43" s="15"/>
      <c r="W43" s="60" t="s">
        <v>3144</v>
      </c>
    </row>
    <row r="44" spans="1:23" s="79" customFormat="1" ht="153" x14ac:dyDescent="0.2">
      <c r="A44" s="1" t="s">
        <v>476</v>
      </c>
      <c r="B44" s="2" t="s">
        <v>383</v>
      </c>
      <c r="C44" s="2" t="s">
        <v>477</v>
      </c>
      <c r="D44" s="2" t="s">
        <v>275</v>
      </c>
      <c r="E44" s="2">
        <v>2022</v>
      </c>
      <c r="F44" s="2" t="s">
        <v>1789</v>
      </c>
      <c r="G44" s="2" t="s">
        <v>3092</v>
      </c>
      <c r="H44" s="2" t="s">
        <v>3092</v>
      </c>
      <c r="I44" s="1" t="s">
        <v>3147</v>
      </c>
      <c r="J44" s="1" t="s">
        <v>3148</v>
      </c>
      <c r="K44" s="17"/>
      <c r="L44" s="54">
        <v>0.28599999999999998</v>
      </c>
      <c r="M44" s="39"/>
      <c r="N44" s="39"/>
      <c r="O44" s="39">
        <f>450+740+191+334+1044+686+457</f>
        <v>3902</v>
      </c>
      <c r="P44" s="39"/>
      <c r="Q44" s="39"/>
      <c r="R44" s="39"/>
      <c r="S44" s="39">
        <f>20/L44</f>
        <v>69.930069930069934</v>
      </c>
      <c r="T44" s="39"/>
      <c r="U44" s="39"/>
      <c r="V44" s="39"/>
      <c r="W44" s="60" t="s">
        <v>4339</v>
      </c>
    </row>
    <row r="45" spans="1:23" s="79" customFormat="1" ht="153" x14ac:dyDescent="0.2">
      <c r="A45" s="1" t="s">
        <v>1845</v>
      </c>
      <c r="B45" s="2" t="s">
        <v>196</v>
      </c>
      <c r="C45" s="2" t="s">
        <v>1846</v>
      </c>
      <c r="D45" s="2" t="s">
        <v>1847</v>
      </c>
      <c r="E45" s="2">
        <v>2022</v>
      </c>
      <c r="F45" s="2" t="s">
        <v>1785</v>
      </c>
      <c r="G45" s="2" t="s">
        <v>3092</v>
      </c>
      <c r="H45" s="2" t="s">
        <v>3092</v>
      </c>
      <c r="I45" s="1" t="s">
        <v>3149</v>
      </c>
      <c r="J45" s="1" t="s">
        <v>3149</v>
      </c>
      <c r="K45" s="17"/>
      <c r="L45" s="54">
        <v>0.2145</v>
      </c>
      <c r="M45" s="39"/>
      <c r="N45" s="39"/>
      <c r="O45" s="39">
        <f>1230+192</f>
        <v>1422</v>
      </c>
      <c r="P45" s="39"/>
      <c r="Q45" s="39"/>
      <c r="R45" s="39"/>
      <c r="S45" s="39"/>
      <c r="T45" s="39"/>
      <c r="U45" s="39"/>
      <c r="V45" s="39"/>
      <c r="W45" s="60"/>
    </row>
    <row r="46" spans="1:23" s="79" customFormat="1" ht="63.75" x14ac:dyDescent="0.2">
      <c r="A46" s="1" t="s">
        <v>1845</v>
      </c>
      <c r="B46" s="2" t="s">
        <v>196</v>
      </c>
      <c r="C46" s="2" t="s">
        <v>1846</v>
      </c>
      <c r="D46" s="2" t="s">
        <v>1847</v>
      </c>
      <c r="E46" s="2">
        <v>2022</v>
      </c>
      <c r="F46" s="2" t="s">
        <v>311</v>
      </c>
      <c r="G46" s="2" t="s">
        <v>3093</v>
      </c>
      <c r="H46" s="2" t="s">
        <v>3092</v>
      </c>
      <c r="I46" s="1" t="s">
        <v>14</v>
      </c>
      <c r="J46" s="1" t="s">
        <v>3150</v>
      </c>
      <c r="K46" s="17"/>
      <c r="L46" s="54">
        <v>0.26800000000000002</v>
      </c>
      <c r="M46" s="39"/>
      <c r="N46" s="39"/>
      <c r="O46" s="39">
        <v>662</v>
      </c>
      <c r="P46" s="39"/>
      <c r="Q46" s="39"/>
      <c r="R46" s="39"/>
      <c r="S46" s="39"/>
      <c r="T46" s="39"/>
      <c r="U46" s="39"/>
      <c r="V46" s="39"/>
      <c r="W46" s="60"/>
    </row>
    <row r="47" spans="1:23" s="79" customFormat="1" ht="51" x14ac:dyDescent="0.2">
      <c r="A47" s="1" t="s">
        <v>1845</v>
      </c>
      <c r="B47" s="2" t="s">
        <v>196</v>
      </c>
      <c r="C47" s="2" t="s">
        <v>1846</v>
      </c>
      <c r="D47" s="2" t="s">
        <v>1847</v>
      </c>
      <c r="E47" s="2">
        <v>2022</v>
      </c>
      <c r="F47" s="2" t="s">
        <v>1794</v>
      </c>
      <c r="G47" s="2" t="s">
        <v>3093</v>
      </c>
      <c r="H47" s="2" t="s">
        <v>3092</v>
      </c>
      <c r="I47" s="1" t="s">
        <v>14</v>
      </c>
      <c r="J47" s="1" t="s">
        <v>3151</v>
      </c>
      <c r="K47" s="17"/>
      <c r="L47" s="54">
        <v>0.27500000000000002</v>
      </c>
      <c r="M47" s="39"/>
      <c r="N47" s="39"/>
      <c r="O47" s="39">
        <v>326.22000000000003</v>
      </c>
      <c r="P47" s="39"/>
      <c r="Q47" s="39"/>
      <c r="R47" s="39"/>
      <c r="S47" s="39"/>
      <c r="T47" s="39"/>
      <c r="U47" s="39"/>
      <c r="V47" s="39"/>
      <c r="W47" s="60"/>
    </row>
    <row r="48" spans="1:23" s="79" customFormat="1" ht="38.25" x14ac:dyDescent="0.2">
      <c r="A48" s="1" t="s">
        <v>151</v>
      </c>
      <c r="B48" s="2" t="s">
        <v>16</v>
      </c>
      <c r="C48" s="2" t="s">
        <v>152</v>
      </c>
      <c r="D48" s="2" t="s">
        <v>141</v>
      </c>
      <c r="E48" s="2">
        <v>2022</v>
      </c>
      <c r="F48" s="2" t="s">
        <v>1776</v>
      </c>
      <c r="G48" s="2" t="s">
        <v>3095</v>
      </c>
      <c r="H48" s="2" t="s">
        <v>3092</v>
      </c>
      <c r="I48" s="1" t="s">
        <v>14</v>
      </c>
      <c r="J48" s="1" t="s">
        <v>3152</v>
      </c>
      <c r="K48" s="17"/>
      <c r="L48" s="54">
        <v>0.20499999999999999</v>
      </c>
      <c r="M48" s="39"/>
      <c r="N48" s="39"/>
      <c r="O48" s="39"/>
      <c r="P48" s="39"/>
      <c r="Q48" s="39"/>
      <c r="R48" s="39"/>
      <c r="S48" s="39">
        <v>2004</v>
      </c>
      <c r="T48" s="39"/>
      <c r="U48" s="39"/>
      <c r="V48" s="39"/>
      <c r="W48" s="60" t="s">
        <v>3153</v>
      </c>
    </row>
    <row r="49" spans="1:23" s="79" customFormat="1" ht="38.25" x14ac:dyDescent="0.2">
      <c r="A49" s="1" t="s">
        <v>151</v>
      </c>
      <c r="B49" s="2" t="s">
        <v>16</v>
      </c>
      <c r="C49" s="2" t="s">
        <v>152</v>
      </c>
      <c r="D49" s="2" t="s">
        <v>141</v>
      </c>
      <c r="E49" s="2">
        <v>2022</v>
      </c>
      <c r="F49" s="2" t="s">
        <v>1779</v>
      </c>
      <c r="G49" s="2" t="s">
        <v>3095</v>
      </c>
      <c r="H49" s="2" t="s">
        <v>3092</v>
      </c>
      <c r="I49" s="1" t="s">
        <v>14</v>
      </c>
      <c r="J49" s="1" t="s">
        <v>3154</v>
      </c>
      <c r="K49" s="17"/>
      <c r="L49" s="54">
        <v>0.21</v>
      </c>
      <c r="M49" s="39"/>
      <c r="N49" s="39"/>
      <c r="O49" s="39"/>
      <c r="P49" s="39"/>
      <c r="Q49" s="39"/>
      <c r="R49" s="39"/>
      <c r="S49" s="39">
        <v>1982</v>
      </c>
      <c r="T49" s="39"/>
      <c r="U49" s="39"/>
      <c r="V49" s="39"/>
      <c r="W49" s="60" t="s">
        <v>3153</v>
      </c>
    </row>
    <row r="50" spans="1:23" s="79" customFormat="1" ht="38.25" x14ac:dyDescent="0.2">
      <c r="A50" s="1" t="s">
        <v>151</v>
      </c>
      <c r="B50" s="2" t="s">
        <v>16</v>
      </c>
      <c r="C50" s="2" t="s">
        <v>152</v>
      </c>
      <c r="D50" s="2" t="s">
        <v>141</v>
      </c>
      <c r="E50" s="2">
        <v>2022</v>
      </c>
      <c r="F50" s="2" t="s">
        <v>1781</v>
      </c>
      <c r="G50" s="2" t="s">
        <v>3095</v>
      </c>
      <c r="H50" s="2" t="s">
        <v>3092</v>
      </c>
      <c r="I50" s="1" t="s">
        <v>14</v>
      </c>
      <c r="J50" s="1" t="s">
        <v>3155</v>
      </c>
      <c r="K50" s="17"/>
      <c r="L50" s="54">
        <v>0.22</v>
      </c>
      <c r="M50" s="39"/>
      <c r="N50" s="39"/>
      <c r="O50" s="39"/>
      <c r="P50" s="39"/>
      <c r="Q50" s="39"/>
      <c r="R50" s="39"/>
      <c r="S50" s="39">
        <v>1920</v>
      </c>
      <c r="T50" s="39"/>
      <c r="U50" s="39"/>
      <c r="V50" s="39"/>
      <c r="W50" s="60" t="s">
        <v>3153</v>
      </c>
    </row>
    <row r="51" spans="1:23" s="79" customFormat="1" ht="38.25" x14ac:dyDescent="0.2">
      <c r="A51" s="1" t="s">
        <v>151</v>
      </c>
      <c r="B51" s="2" t="s">
        <v>16</v>
      </c>
      <c r="C51" s="2" t="s">
        <v>152</v>
      </c>
      <c r="D51" s="2" t="s">
        <v>141</v>
      </c>
      <c r="E51" s="2">
        <v>2022</v>
      </c>
      <c r="F51" s="2" t="s">
        <v>1783</v>
      </c>
      <c r="G51" s="2" t="s">
        <v>3095</v>
      </c>
      <c r="H51" s="2" t="s">
        <v>3092</v>
      </c>
      <c r="I51" s="1" t="s">
        <v>14</v>
      </c>
      <c r="J51" s="1" t="s">
        <v>3156</v>
      </c>
      <c r="K51" s="17"/>
      <c r="L51" s="54">
        <v>0.21</v>
      </c>
      <c r="M51" s="39"/>
      <c r="N51" s="39"/>
      <c r="O51" s="39"/>
      <c r="P51" s="39"/>
      <c r="Q51" s="39"/>
      <c r="R51" s="39"/>
      <c r="S51" s="39">
        <v>1738</v>
      </c>
      <c r="T51" s="39"/>
      <c r="U51" s="39"/>
      <c r="V51" s="39"/>
      <c r="W51" s="60" t="s">
        <v>3153</v>
      </c>
    </row>
    <row r="52" spans="1:23" s="79" customFormat="1" ht="51" x14ac:dyDescent="0.2">
      <c r="A52" s="1" t="s">
        <v>151</v>
      </c>
      <c r="B52" s="2" t="s">
        <v>16</v>
      </c>
      <c r="C52" s="2" t="s">
        <v>152</v>
      </c>
      <c r="D52" s="2" t="s">
        <v>141</v>
      </c>
      <c r="E52" s="2">
        <v>2022</v>
      </c>
      <c r="F52" s="2" t="s">
        <v>1785</v>
      </c>
      <c r="G52" s="2" t="s">
        <v>3095</v>
      </c>
      <c r="H52" s="2" t="s">
        <v>3092</v>
      </c>
      <c r="I52" s="1" t="s">
        <v>14</v>
      </c>
      <c r="J52" s="1" t="s">
        <v>3157</v>
      </c>
      <c r="K52" s="17"/>
      <c r="L52" s="54">
        <v>0.23400000000000001</v>
      </c>
      <c r="M52" s="39"/>
      <c r="N52" s="39"/>
      <c r="O52" s="39"/>
      <c r="P52" s="39"/>
      <c r="Q52" s="39"/>
      <c r="R52" s="39"/>
      <c r="S52" s="39">
        <v>1756</v>
      </c>
      <c r="T52" s="39"/>
      <c r="U52" s="39"/>
      <c r="V52" s="39"/>
      <c r="W52" s="60" t="s">
        <v>3153</v>
      </c>
    </row>
    <row r="53" spans="1:23" s="79" customFormat="1" ht="51" x14ac:dyDescent="0.2">
      <c r="A53" s="1" t="s">
        <v>151</v>
      </c>
      <c r="B53" s="2" t="s">
        <v>16</v>
      </c>
      <c r="C53" s="2" t="s">
        <v>152</v>
      </c>
      <c r="D53" s="2" t="s">
        <v>141</v>
      </c>
      <c r="E53" s="2">
        <v>2022</v>
      </c>
      <c r="F53" s="2" t="s">
        <v>1787</v>
      </c>
      <c r="G53" s="2" t="s">
        <v>3095</v>
      </c>
      <c r="H53" s="2" t="s">
        <v>3092</v>
      </c>
      <c r="I53" s="1" t="s">
        <v>14</v>
      </c>
      <c r="J53" s="1" t="s">
        <v>3158</v>
      </c>
      <c r="K53" s="17"/>
      <c r="L53" s="54">
        <v>0.24640000000000001</v>
      </c>
      <c r="M53" s="39"/>
      <c r="N53" s="39"/>
      <c r="O53" s="39"/>
      <c r="P53" s="39"/>
      <c r="Q53" s="39"/>
      <c r="R53" s="39"/>
      <c r="S53" s="39">
        <v>2055</v>
      </c>
      <c r="T53" s="39"/>
      <c r="U53" s="39"/>
      <c r="V53" s="39"/>
      <c r="W53" s="60" t="s">
        <v>3153</v>
      </c>
    </row>
    <row r="54" spans="1:23" s="79" customFormat="1" ht="51" x14ac:dyDescent="0.2">
      <c r="A54" s="1" t="s">
        <v>151</v>
      </c>
      <c r="B54" s="2" t="s">
        <v>16</v>
      </c>
      <c r="C54" s="2" t="s">
        <v>152</v>
      </c>
      <c r="D54" s="2" t="s">
        <v>141</v>
      </c>
      <c r="E54" s="2">
        <v>2022</v>
      </c>
      <c r="F54" s="2" t="s">
        <v>1789</v>
      </c>
      <c r="G54" s="2" t="s">
        <v>3095</v>
      </c>
      <c r="H54" s="2" t="s">
        <v>3092</v>
      </c>
      <c r="I54" s="1" t="s">
        <v>14</v>
      </c>
      <c r="J54" s="1" t="s">
        <v>3159</v>
      </c>
      <c r="K54" s="17"/>
      <c r="L54" s="54">
        <v>0.24</v>
      </c>
      <c r="M54" s="39"/>
      <c r="N54" s="39"/>
      <c r="O54" s="39"/>
      <c r="P54" s="39"/>
      <c r="Q54" s="39"/>
      <c r="R54" s="39"/>
      <c r="S54" s="39">
        <v>1849</v>
      </c>
      <c r="T54" s="39"/>
      <c r="U54" s="39"/>
      <c r="V54" s="39"/>
      <c r="W54" s="60" t="s">
        <v>3153</v>
      </c>
    </row>
    <row r="55" spans="1:23" s="79" customFormat="1" ht="51" x14ac:dyDescent="0.2">
      <c r="A55" s="1" t="s">
        <v>151</v>
      </c>
      <c r="B55" s="2" t="s">
        <v>16</v>
      </c>
      <c r="C55" s="2" t="s">
        <v>152</v>
      </c>
      <c r="D55" s="2" t="s">
        <v>141</v>
      </c>
      <c r="E55" s="2">
        <v>2022</v>
      </c>
      <c r="F55" s="2" t="s">
        <v>1791</v>
      </c>
      <c r="G55" s="2" t="s">
        <v>3095</v>
      </c>
      <c r="H55" s="2" t="s">
        <v>3092</v>
      </c>
      <c r="I55" s="1" t="s">
        <v>14</v>
      </c>
      <c r="J55" s="1" t="s">
        <v>3160</v>
      </c>
      <c r="K55" s="17"/>
      <c r="L55" s="54">
        <v>0.23</v>
      </c>
      <c r="M55" s="39"/>
      <c r="N55" s="39"/>
      <c r="O55" s="39"/>
      <c r="P55" s="39"/>
      <c r="Q55" s="39"/>
      <c r="R55" s="39"/>
      <c r="S55" s="39">
        <v>1903</v>
      </c>
      <c r="T55" s="39"/>
      <c r="U55" s="39"/>
      <c r="V55" s="39"/>
      <c r="W55" s="60" t="s">
        <v>3153</v>
      </c>
    </row>
    <row r="56" spans="1:23" s="79" customFormat="1" ht="51" x14ac:dyDescent="0.2">
      <c r="A56" s="1" t="s">
        <v>151</v>
      </c>
      <c r="B56" s="2" t="s">
        <v>16</v>
      </c>
      <c r="C56" s="2" t="s">
        <v>152</v>
      </c>
      <c r="D56" s="2" t="s">
        <v>141</v>
      </c>
      <c r="E56" s="2">
        <v>2022</v>
      </c>
      <c r="F56" s="2" t="s">
        <v>311</v>
      </c>
      <c r="G56" s="2" t="s">
        <v>3095</v>
      </c>
      <c r="H56" s="2" t="s">
        <v>3092</v>
      </c>
      <c r="I56" s="1" t="s">
        <v>14</v>
      </c>
      <c r="J56" s="1" t="s">
        <v>3161</v>
      </c>
      <c r="K56" s="17"/>
      <c r="L56" s="54">
        <v>0.23150000000000001</v>
      </c>
      <c r="M56" s="39"/>
      <c r="N56" s="39"/>
      <c r="O56" s="39"/>
      <c r="P56" s="39"/>
      <c r="Q56" s="39"/>
      <c r="R56" s="39"/>
      <c r="S56" s="39">
        <v>1639</v>
      </c>
      <c r="T56" s="39"/>
      <c r="U56" s="39"/>
      <c r="V56" s="39"/>
      <c r="W56" s="60" t="s">
        <v>3153</v>
      </c>
    </row>
    <row r="57" spans="1:23" s="79" customFormat="1" ht="51" x14ac:dyDescent="0.2">
      <c r="A57" s="1" t="s">
        <v>151</v>
      </c>
      <c r="B57" s="2" t="s">
        <v>16</v>
      </c>
      <c r="C57" s="2" t="s">
        <v>152</v>
      </c>
      <c r="D57" s="2" t="s">
        <v>141</v>
      </c>
      <c r="E57" s="2">
        <v>2022</v>
      </c>
      <c r="F57" s="2" t="s">
        <v>1794</v>
      </c>
      <c r="G57" s="2" t="s">
        <v>3095</v>
      </c>
      <c r="H57" s="2" t="s">
        <v>3092</v>
      </c>
      <c r="I57" s="1" t="s">
        <v>14</v>
      </c>
      <c r="J57" s="1" t="s">
        <v>3162</v>
      </c>
      <c r="K57" s="17"/>
      <c r="L57" s="54">
        <v>0.216</v>
      </c>
      <c r="M57" s="39"/>
      <c r="N57" s="39"/>
      <c r="O57" s="39"/>
      <c r="P57" s="39"/>
      <c r="Q57" s="39"/>
      <c r="R57" s="39"/>
      <c r="S57" s="39">
        <v>1646</v>
      </c>
      <c r="T57" s="39"/>
      <c r="U57" s="39"/>
      <c r="V57" s="39"/>
      <c r="W57" s="60" t="s">
        <v>3153</v>
      </c>
    </row>
    <row r="58" spans="1:23" s="79" customFormat="1" ht="51" x14ac:dyDescent="0.2">
      <c r="A58" s="1" t="s">
        <v>151</v>
      </c>
      <c r="B58" s="2" t="s">
        <v>16</v>
      </c>
      <c r="C58" s="2" t="s">
        <v>152</v>
      </c>
      <c r="D58" s="2" t="s">
        <v>141</v>
      </c>
      <c r="E58" s="2">
        <v>2022</v>
      </c>
      <c r="F58" s="2" t="s">
        <v>1796</v>
      </c>
      <c r="G58" s="2" t="s">
        <v>3095</v>
      </c>
      <c r="H58" s="2" t="s">
        <v>3092</v>
      </c>
      <c r="I58" s="1" t="s">
        <v>14</v>
      </c>
      <c r="J58" s="1" t="s">
        <v>3163</v>
      </c>
      <c r="K58" s="17"/>
      <c r="L58" s="54">
        <v>0.21</v>
      </c>
      <c r="M58" s="39"/>
      <c r="N58" s="39"/>
      <c r="O58" s="39"/>
      <c r="P58" s="39"/>
      <c r="Q58" s="39"/>
      <c r="R58" s="39"/>
      <c r="S58" s="39">
        <v>1819</v>
      </c>
      <c r="T58" s="39"/>
      <c r="U58" s="39"/>
      <c r="V58" s="39"/>
      <c r="W58" s="60" t="s">
        <v>3153</v>
      </c>
    </row>
    <row r="59" spans="1:23" s="79" customFormat="1" ht="51" x14ac:dyDescent="0.2">
      <c r="A59" s="1" t="s">
        <v>151</v>
      </c>
      <c r="B59" s="2" t="s">
        <v>16</v>
      </c>
      <c r="C59" s="2" t="s">
        <v>152</v>
      </c>
      <c r="D59" s="2" t="s">
        <v>141</v>
      </c>
      <c r="E59" s="2">
        <v>2022</v>
      </c>
      <c r="F59" s="2" t="s">
        <v>1798</v>
      </c>
      <c r="G59" s="2" t="s">
        <v>3095</v>
      </c>
      <c r="H59" s="2" t="s">
        <v>3092</v>
      </c>
      <c r="I59" s="1" t="s">
        <v>14</v>
      </c>
      <c r="J59" s="1" t="s">
        <v>3164</v>
      </c>
      <c r="K59" s="17"/>
      <c r="L59" s="54">
        <v>0.1976</v>
      </c>
      <c r="M59" s="39"/>
      <c r="N59" s="39"/>
      <c r="O59" s="39"/>
      <c r="P59" s="39"/>
      <c r="Q59" s="39"/>
      <c r="R59" s="39"/>
      <c r="S59" s="39">
        <v>2146</v>
      </c>
      <c r="T59" s="39"/>
      <c r="U59" s="39"/>
      <c r="V59" s="39"/>
      <c r="W59" s="60" t="s">
        <v>3153</v>
      </c>
    </row>
    <row r="60" spans="1:23" s="79" customFormat="1" ht="102" x14ac:dyDescent="0.2">
      <c r="A60" s="1" t="s">
        <v>3165</v>
      </c>
      <c r="B60" s="2" t="s">
        <v>218</v>
      </c>
      <c r="C60" s="2" t="s">
        <v>3166</v>
      </c>
      <c r="D60" s="2" t="s">
        <v>55</v>
      </c>
      <c r="E60" s="2">
        <v>2022</v>
      </c>
      <c r="F60" s="2" t="s">
        <v>1789</v>
      </c>
      <c r="G60" s="2" t="s">
        <v>3092</v>
      </c>
      <c r="H60" s="2" t="s">
        <v>3092</v>
      </c>
      <c r="I60" s="1" t="s">
        <v>3167</v>
      </c>
      <c r="J60" s="1" t="s">
        <v>3168</v>
      </c>
      <c r="K60" s="17"/>
      <c r="L60" s="54">
        <v>0.16</v>
      </c>
      <c r="M60" s="39"/>
      <c r="N60" s="39"/>
      <c r="O60" s="39"/>
      <c r="P60" s="39"/>
      <c r="Q60" s="39"/>
      <c r="R60" s="39"/>
      <c r="S60" s="39">
        <v>129</v>
      </c>
      <c r="T60" s="39"/>
      <c r="U60" s="39"/>
      <c r="V60" s="39"/>
      <c r="W60" s="60" t="s">
        <v>3169</v>
      </c>
    </row>
    <row r="61" spans="1:23" s="79" customFormat="1" ht="38.25" x14ac:dyDescent="0.2">
      <c r="A61" s="1" t="s">
        <v>68</v>
      </c>
      <c r="B61" s="2" t="s">
        <v>69</v>
      </c>
      <c r="C61" s="2" t="s">
        <v>70</v>
      </c>
      <c r="D61" s="2" t="s">
        <v>71</v>
      </c>
      <c r="E61" s="2">
        <v>2022</v>
      </c>
      <c r="F61" s="2" t="s">
        <v>1787</v>
      </c>
      <c r="G61" s="2" t="s">
        <v>3095</v>
      </c>
      <c r="H61" s="2" t="s">
        <v>3092</v>
      </c>
      <c r="I61" s="1" t="s">
        <v>14</v>
      </c>
      <c r="J61" s="1" t="s">
        <v>3170</v>
      </c>
      <c r="K61" s="17"/>
      <c r="L61" s="54" t="s">
        <v>1670</v>
      </c>
      <c r="M61" s="39"/>
      <c r="N61" s="39"/>
      <c r="O61" s="39"/>
      <c r="P61" s="39"/>
      <c r="Q61" s="39"/>
      <c r="R61" s="39"/>
      <c r="S61" s="39">
        <f>30*0.8</f>
        <v>24</v>
      </c>
      <c r="T61" s="39"/>
      <c r="U61" s="39"/>
      <c r="V61" s="39"/>
      <c r="W61" s="60" t="s">
        <v>1680</v>
      </c>
    </row>
    <row r="62" spans="1:23" s="79" customFormat="1" ht="25.5" x14ac:dyDescent="0.2">
      <c r="A62" s="1" t="s">
        <v>86</v>
      </c>
      <c r="B62" s="2" t="s">
        <v>29</v>
      </c>
      <c r="C62" s="2" t="s">
        <v>87</v>
      </c>
      <c r="D62" s="2" t="s">
        <v>88</v>
      </c>
      <c r="E62" s="2">
        <v>2022</v>
      </c>
      <c r="F62" s="2" t="s">
        <v>1776</v>
      </c>
      <c r="G62" s="2" t="s">
        <v>3095</v>
      </c>
      <c r="H62" s="2" t="s">
        <v>3092</v>
      </c>
      <c r="I62" s="1" t="s">
        <v>14</v>
      </c>
      <c r="J62" s="1" t="s">
        <v>3171</v>
      </c>
      <c r="K62" s="17"/>
      <c r="L62" s="80">
        <v>0.19800000000000001</v>
      </c>
      <c r="M62" s="15"/>
      <c r="N62" s="15"/>
      <c r="O62" s="15">
        <v>336.1</v>
      </c>
      <c r="P62" s="15"/>
      <c r="Q62" s="15"/>
      <c r="R62" s="15"/>
      <c r="S62" s="15"/>
      <c r="T62" s="15"/>
      <c r="U62" s="15"/>
      <c r="V62" s="15"/>
      <c r="W62" s="60"/>
    </row>
    <row r="63" spans="1:23" s="79" customFormat="1" ht="25.5" x14ac:dyDescent="0.2">
      <c r="A63" s="1" t="s">
        <v>86</v>
      </c>
      <c r="B63" s="2" t="s">
        <v>29</v>
      </c>
      <c r="C63" s="2" t="s">
        <v>87</v>
      </c>
      <c r="D63" s="2" t="s">
        <v>88</v>
      </c>
      <c r="E63" s="2">
        <v>2022</v>
      </c>
      <c r="F63" s="2" t="s">
        <v>1779</v>
      </c>
      <c r="G63" s="2" t="s">
        <v>3095</v>
      </c>
      <c r="H63" s="2" t="s">
        <v>3092</v>
      </c>
      <c r="I63" s="1" t="s">
        <v>14</v>
      </c>
      <c r="J63" s="1" t="s">
        <v>3172</v>
      </c>
      <c r="K63" s="17"/>
      <c r="L63" s="54">
        <v>0.21</v>
      </c>
      <c r="M63" s="39"/>
      <c r="N63" s="39"/>
      <c r="O63" s="39">
        <f>185.1/2</f>
        <v>92.55</v>
      </c>
      <c r="P63" s="39">
        <f>185.1/2</f>
        <v>92.55</v>
      </c>
      <c r="Q63" s="39"/>
      <c r="R63" s="39"/>
      <c r="S63" s="39"/>
      <c r="T63" s="39"/>
      <c r="U63" s="39"/>
      <c r="V63" s="39"/>
      <c r="W63" s="60" t="s">
        <v>1749</v>
      </c>
    </row>
    <row r="64" spans="1:23" s="79" customFormat="1" ht="38.25" x14ac:dyDescent="0.2">
      <c r="A64" s="1" t="s">
        <v>86</v>
      </c>
      <c r="B64" s="2" t="s">
        <v>29</v>
      </c>
      <c r="C64" s="2" t="s">
        <v>87</v>
      </c>
      <c r="D64" s="2" t="s">
        <v>88</v>
      </c>
      <c r="E64" s="2">
        <v>2022</v>
      </c>
      <c r="F64" s="2" t="s">
        <v>1781</v>
      </c>
      <c r="G64" s="2" t="s">
        <v>3095</v>
      </c>
      <c r="H64" s="2" t="s">
        <v>3092</v>
      </c>
      <c r="I64" s="1" t="s">
        <v>14</v>
      </c>
      <c r="J64" s="1" t="s">
        <v>3173</v>
      </c>
      <c r="K64" s="17"/>
      <c r="L64" s="54">
        <v>0.23</v>
      </c>
      <c r="M64" s="15"/>
      <c r="N64" s="15"/>
      <c r="O64" s="15">
        <f>117.8/2</f>
        <v>58.9</v>
      </c>
      <c r="P64" s="15">
        <f>117.8/2</f>
        <v>58.9</v>
      </c>
      <c r="Q64" s="15"/>
      <c r="R64" s="15"/>
      <c r="S64" s="15"/>
      <c r="T64" s="15"/>
      <c r="U64" s="15"/>
      <c r="V64" s="15"/>
      <c r="W64" s="60" t="s">
        <v>1749</v>
      </c>
    </row>
    <row r="65" spans="1:23" s="79" customFormat="1" ht="38.25" x14ac:dyDescent="0.2">
      <c r="A65" s="1" t="s">
        <v>86</v>
      </c>
      <c r="B65" s="2" t="s">
        <v>29</v>
      </c>
      <c r="C65" s="2" t="s">
        <v>87</v>
      </c>
      <c r="D65" s="2" t="s">
        <v>88</v>
      </c>
      <c r="E65" s="2">
        <v>2022</v>
      </c>
      <c r="F65" s="2" t="s">
        <v>1783</v>
      </c>
      <c r="G65" s="2" t="s">
        <v>3095</v>
      </c>
      <c r="H65" s="2" t="s">
        <v>3092</v>
      </c>
      <c r="I65" s="1" t="s">
        <v>14</v>
      </c>
      <c r="J65" s="1" t="s">
        <v>3174</v>
      </c>
      <c r="K65" s="17"/>
      <c r="L65" s="54">
        <v>0.23799999999999999</v>
      </c>
      <c r="M65" s="39"/>
      <c r="N65" s="39"/>
      <c r="O65" s="39">
        <v>245.7</v>
      </c>
      <c r="P65" s="39"/>
      <c r="Q65" s="39"/>
      <c r="R65" s="39"/>
      <c r="S65" s="39"/>
      <c r="T65" s="39"/>
      <c r="U65" s="39"/>
      <c r="V65" s="39"/>
      <c r="W65" s="60"/>
    </row>
    <row r="66" spans="1:23" s="79" customFormat="1" ht="38.25" x14ac:dyDescent="0.2">
      <c r="A66" s="1" t="s">
        <v>86</v>
      </c>
      <c r="B66" s="2" t="s">
        <v>29</v>
      </c>
      <c r="C66" s="2" t="s">
        <v>87</v>
      </c>
      <c r="D66" s="2" t="s">
        <v>88</v>
      </c>
      <c r="E66" s="2">
        <v>2022</v>
      </c>
      <c r="F66" s="2" t="s">
        <v>1785</v>
      </c>
      <c r="G66" s="2" t="s">
        <v>3095</v>
      </c>
      <c r="H66" s="2" t="s">
        <v>3092</v>
      </c>
      <c r="I66" s="1" t="s">
        <v>14</v>
      </c>
      <c r="J66" s="1" t="s">
        <v>3175</v>
      </c>
      <c r="K66" s="17"/>
      <c r="L66" s="54">
        <v>0.22700000000000001</v>
      </c>
      <c r="M66" s="39"/>
      <c r="N66" s="39"/>
      <c r="O66" s="39">
        <v>314.39999999999998</v>
      </c>
      <c r="P66" s="39"/>
      <c r="Q66" s="39"/>
      <c r="R66" s="39"/>
      <c r="S66" s="39"/>
      <c r="T66" s="39"/>
      <c r="U66" s="39"/>
      <c r="V66" s="39"/>
      <c r="W66" s="60"/>
    </row>
    <row r="67" spans="1:23" s="79" customFormat="1" ht="51" x14ac:dyDescent="0.2">
      <c r="A67" s="1" t="s">
        <v>86</v>
      </c>
      <c r="B67" s="2" t="s">
        <v>29</v>
      </c>
      <c r="C67" s="2" t="s">
        <v>87</v>
      </c>
      <c r="D67" s="2" t="s">
        <v>88</v>
      </c>
      <c r="E67" s="2">
        <v>2022</v>
      </c>
      <c r="F67" s="2" t="s">
        <v>1787</v>
      </c>
      <c r="G67" s="2" t="s">
        <v>3095</v>
      </c>
      <c r="H67" s="2" t="s">
        <v>3092</v>
      </c>
      <c r="I67" s="1" t="s">
        <v>14</v>
      </c>
      <c r="J67" s="1" t="s">
        <v>3176</v>
      </c>
      <c r="K67" s="17"/>
      <c r="L67" s="54">
        <v>0.21099999999999999</v>
      </c>
      <c r="M67" s="39"/>
      <c r="N67" s="39"/>
      <c r="O67" s="39">
        <v>363.8</v>
      </c>
      <c r="P67" s="39"/>
      <c r="Q67" s="39"/>
      <c r="R67" s="39"/>
      <c r="S67" s="39"/>
      <c r="T67" s="39"/>
      <c r="U67" s="39"/>
      <c r="V67" s="39"/>
      <c r="W67" s="60"/>
    </row>
    <row r="68" spans="1:23" s="79" customFormat="1" ht="25.5" x14ac:dyDescent="0.2">
      <c r="A68" s="1" t="s">
        <v>86</v>
      </c>
      <c r="B68" s="2" t="s">
        <v>29</v>
      </c>
      <c r="C68" s="2" t="s">
        <v>87</v>
      </c>
      <c r="D68" s="2" t="s">
        <v>88</v>
      </c>
      <c r="E68" s="2">
        <v>2022</v>
      </c>
      <c r="F68" s="2" t="s">
        <v>1789</v>
      </c>
      <c r="G68" s="2" t="s">
        <v>3095</v>
      </c>
      <c r="H68" s="2" t="s">
        <v>3092</v>
      </c>
      <c r="I68" s="1" t="s">
        <v>14</v>
      </c>
      <c r="J68" s="1" t="s">
        <v>3177</v>
      </c>
      <c r="K68" s="17"/>
      <c r="L68" s="54">
        <v>0.20799999999999999</v>
      </c>
      <c r="M68" s="39"/>
      <c r="N68" s="39"/>
      <c r="O68" s="39">
        <v>301.2</v>
      </c>
      <c r="P68" s="39"/>
      <c r="Q68" s="39"/>
      <c r="R68" s="39"/>
      <c r="S68" s="39"/>
      <c r="T68" s="39"/>
      <c r="U68" s="39"/>
      <c r="V68" s="39"/>
      <c r="W68" s="60"/>
    </row>
    <row r="69" spans="1:23" s="79" customFormat="1" ht="25.5" x14ac:dyDescent="0.2">
      <c r="A69" s="1" t="s">
        <v>86</v>
      </c>
      <c r="B69" s="2" t="s">
        <v>29</v>
      </c>
      <c r="C69" s="2" t="s">
        <v>87</v>
      </c>
      <c r="D69" s="2" t="s">
        <v>88</v>
      </c>
      <c r="E69" s="2">
        <v>2022</v>
      </c>
      <c r="F69" s="2" t="s">
        <v>1791</v>
      </c>
      <c r="G69" s="2" t="s">
        <v>3095</v>
      </c>
      <c r="H69" s="2" t="s">
        <v>3092</v>
      </c>
      <c r="I69" s="1" t="s">
        <v>14</v>
      </c>
      <c r="J69" s="1" t="s">
        <v>3178</v>
      </c>
      <c r="K69" s="17"/>
      <c r="L69" s="54">
        <v>0.2</v>
      </c>
      <c r="M69" s="39"/>
      <c r="N69" s="39"/>
      <c r="O69" s="39">
        <f>362.6/2</f>
        <v>181.3</v>
      </c>
      <c r="P69" s="39">
        <f>362.6/2</f>
        <v>181.3</v>
      </c>
      <c r="Q69" s="39"/>
      <c r="R69" s="39"/>
      <c r="S69" s="39"/>
      <c r="T69" s="39"/>
      <c r="U69" s="39"/>
      <c r="V69" s="39"/>
      <c r="W69" s="60" t="s">
        <v>1749</v>
      </c>
    </row>
    <row r="70" spans="1:23" s="79" customFormat="1" ht="51" x14ac:dyDescent="0.2">
      <c r="A70" s="1" t="s">
        <v>86</v>
      </c>
      <c r="B70" s="2" t="s">
        <v>29</v>
      </c>
      <c r="C70" s="2" t="s">
        <v>87</v>
      </c>
      <c r="D70" s="2" t="s">
        <v>88</v>
      </c>
      <c r="E70" s="2">
        <v>2022</v>
      </c>
      <c r="F70" s="2" t="s">
        <v>311</v>
      </c>
      <c r="G70" s="2" t="s">
        <v>3095</v>
      </c>
      <c r="H70" s="2" t="s">
        <v>3092</v>
      </c>
      <c r="I70" s="1" t="s">
        <v>14</v>
      </c>
      <c r="J70" s="1" t="s">
        <v>3179</v>
      </c>
      <c r="K70" s="17"/>
      <c r="L70" s="54">
        <v>0.188</v>
      </c>
      <c r="M70" s="39"/>
      <c r="N70" s="39"/>
      <c r="O70" s="39">
        <f>352.5/2</f>
        <v>176.25</v>
      </c>
      <c r="P70" s="39">
        <f>352.5/2</f>
        <v>176.25</v>
      </c>
      <c r="Q70" s="39"/>
      <c r="R70" s="39"/>
      <c r="S70" s="39"/>
      <c r="T70" s="39"/>
      <c r="U70" s="39"/>
      <c r="V70" s="39"/>
      <c r="W70" s="60" t="s">
        <v>1749</v>
      </c>
    </row>
    <row r="71" spans="1:23" s="79" customFormat="1" ht="38.25" x14ac:dyDescent="0.2">
      <c r="A71" s="1" t="s">
        <v>86</v>
      </c>
      <c r="B71" s="2" t="s">
        <v>29</v>
      </c>
      <c r="C71" s="2" t="s">
        <v>87</v>
      </c>
      <c r="D71" s="2" t="s">
        <v>88</v>
      </c>
      <c r="E71" s="2">
        <v>2022</v>
      </c>
      <c r="F71" s="2" t="s">
        <v>1794</v>
      </c>
      <c r="G71" s="2" t="s">
        <v>3095</v>
      </c>
      <c r="H71" s="2" t="s">
        <v>3092</v>
      </c>
      <c r="I71" s="1" t="s">
        <v>14</v>
      </c>
      <c r="J71" s="1" t="s">
        <v>3180</v>
      </c>
      <c r="K71" s="17"/>
      <c r="L71" s="54">
        <v>0.18</v>
      </c>
      <c r="M71" s="39"/>
      <c r="N71" s="39"/>
      <c r="O71" s="39">
        <v>242.1</v>
      </c>
      <c r="P71" s="39"/>
      <c r="Q71" s="39"/>
      <c r="R71" s="39"/>
      <c r="S71" s="39"/>
      <c r="T71" s="39"/>
      <c r="U71" s="39"/>
      <c r="V71" s="39"/>
      <c r="W71" s="60"/>
    </row>
    <row r="72" spans="1:23" s="79" customFormat="1" ht="38.25" x14ac:dyDescent="0.2">
      <c r="A72" s="1" t="s">
        <v>86</v>
      </c>
      <c r="B72" s="2" t="s">
        <v>29</v>
      </c>
      <c r="C72" s="2" t="s">
        <v>87</v>
      </c>
      <c r="D72" s="2" t="s">
        <v>88</v>
      </c>
      <c r="E72" s="2">
        <v>2022</v>
      </c>
      <c r="F72" s="2" t="s">
        <v>1796</v>
      </c>
      <c r="G72" s="2" t="s">
        <v>3095</v>
      </c>
      <c r="H72" s="2" t="s">
        <v>3092</v>
      </c>
      <c r="I72" s="1" t="s">
        <v>14</v>
      </c>
      <c r="J72" s="1" t="s">
        <v>3181</v>
      </c>
      <c r="K72" s="17"/>
      <c r="L72" s="54">
        <v>0.17899999999999999</v>
      </c>
      <c r="M72" s="39"/>
      <c r="N72" s="39"/>
      <c r="O72" s="39">
        <f>371/2</f>
        <v>185.5</v>
      </c>
      <c r="P72" s="39">
        <f>371/2</f>
        <v>185.5</v>
      </c>
      <c r="Q72" s="39"/>
      <c r="R72" s="39"/>
      <c r="S72" s="39"/>
      <c r="T72" s="39"/>
      <c r="U72" s="39"/>
      <c r="V72" s="39"/>
      <c r="W72" s="60" t="s">
        <v>1749</v>
      </c>
    </row>
    <row r="73" spans="1:23" s="79" customFormat="1" ht="25.5" x14ac:dyDescent="0.2">
      <c r="A73" s="1" t="s">
        <v>86</v>
      </c>
      <c r="B73" s="2" t="s">
        <v>29</v>
      </c>
      <c r="C73" s="2" t="s">
        <v>87</v>
      </c>
      <c r="D73" s="2" t="s">
        <v>88</v>
      </c>
      <c r="E73" s="2">
        <v>2022</v>
      </c>
      <c r="F73" s="2" t="s">
        <v>1798</v>
      </c>
      <c r="G73" s="2" t="s">
        <v>3095</v>
      </c>
      <c r="H73" s="2" t="s">
        <v>3092</v>
      </c>
      <c r="I73" s="1" t="s">
        <v>14</v>
      </c>
      <c r="J73" s="1" t="s">
        <v>3182</v>
      </c>
      <c r="K73" s="17"/>
      <c r="L73" s="54">
        <v>0.189</v>
      </c>
      <c r="M73" s="39"/>
      <c r="N73" s="39"/>
      <c r="O73" s="39">
        <f>318.8/2</f>
        <v>159.4</v>
      </c>
      <c r="P73" s="39">
        <f>318.8/2</f>
        <v>159.4</v>
      </c>
      <c r="Q73" s="39"/>
      <c r="R73" s="39"/>
      <c r="S73" s="39"/>
      <c r="T73" s="39"/>
      <c r="U73" s="39"/>
      <c r="V73" s="39"/>
      <c r="W73" s="60" t="s">
        <v>1749</v>
      </c>
    </row>
    <row r="74" spans="1:23" s="79" customFormat="1" ht="267.75" x14ac:dyDescent="0.2">
      <c r="A74" s="1" t="s">
        <v>1385</v>
      </c>
      <c r="B74" s="2" t="s">
        <v>198</v>
      </c>
      <c r="C74" s="2" t="s">
        <v>87</v>
      </c>
      <c r="D74" s="2" t="s">
        <v>88</v>
      </c>
      <c r="E74" s="2">
        <v>2022</v>
      </c>
      <c r="F74" s="2" t="s">
        <v>1794</v>
      </c>
      <c r="G74" s="2" t="s">
        <v>3092</v>
      </c>
      <c r="H74" s="2" t="s">
        <v>3093</v>
      </c>
      <c r="I74" s="1" t="s">
        <v>3183</v>
      </c>
      <c r="J74" s="1" t="s">
        <v>3184</v>
      </c>
      <c r="K74" s="17"/>
      <c r="L74" s="54"/>
      <c r="M74" s="39"/>
      <c r="N74" s="39"/>
      <c r="O74" s="39"/>
      <c r="P74" s="39"/>
      <c r="Q74" s="39"/>
      <c r="R74" s="39"/>
      <c r="S74" s="39"/>
      <c r="T74" s="39"/>
      <c r="U74" s="39"/>
      <c r="V74" s="39"/>
      <c r="W74" s="60" t="s">
        <v>1693</v>
      </c>
    </row>
    <row r="75" spans="1:23" s="79" customFormat="1" ht="76.5" x14ac:dyDescent="0.2">
      <c r="A75" s="1" t="s">
        <v>1385</v>
      </c>
      <c r="B75" s="2" t="s">
        <v>198</v>
      </c>
      <c r="C75" s="2" t="s">
        <v>87</v>
      </c>
      <c r="D75" s="2" t="s">
        <v>88</v>
      </c>
      <c r="E75" s="2">
        <v>2022</v>
      </c>
      <c r="F75" s="2" t="s">
        <v>1796</v>
      </c>
      <c r="G75" s="2" t="s">
        <v>3092</v>
      </c>
      <c r="H75" s="2" t="s">
        <v>3093</v>
      </c>
      <c r="I75" s="1" t="s">
        <v>3185</v>
      </c>
      <c r="J75" s="1" t="s">
        <v>3186</v>
      </c>
      <c r="K75" s="17"/>
      <c r="L75" s="54"/>
      <c r="M75" s="39"/>
      <c r="N75" s="39"/>
      <c r="O75" s="39"/>
      <c r="P75" s="39"/>
      <c r="Q75" s="39"/>
      <c r="R75" s="39"/>
      <c r="S75" s="39"/>
      <c r="T75" s="39"/>
      <c r="U75" s="39"/>
      <c r="V75" s="39"/>
      <c r="W75" s="60" t="s">
        <v>1693</v>
      </c>
    </row>
    <row r="76" spans="1:23" s="79" customFormat="1" ht="25.5" x14ac:dyDescent="0.2">
      <c r="A76" s="1" t="s">
        <v>190</v>
      </c>
      <c r="B76" s="2" t="s">
        <v>10</v>
      </c>
      <c r="C76" s="2" t="s">
        <v>191</v>
      </c>
      <c r="D76" s="2" t="s">
        <v>192</v>
      </c>
      <c r="E76" s="2">
        <v>2022</v>
      </c>
      <c r="F76" s="2" t="s">
        <v>1779</v>
      </c>
      <c r="G76" s="2" t="s">
        <v>3095</v>
      </c>
      <c r="H76" s="2" t="s">
        <v>3092</v>
      </c>
      <c r="I76" s="1" t="s">
        <v>14</v>
      </c>
      <c r="J76" s="1" t="s">
        <v>3187</v>
      </c>
      <c r="K76" s="17"/>
      <c r="L76" s="54"/>
      <c r="M76" s="39"/>
      <c r="N76" s="39"/>
      <c r="O76" s="39"/>
      <c r="P76" s="39"/>
      <c r="Q76" s="39"/>
      <c r="R76" s="39"/>
      <c r="S76" s="39"/>
      <c r="T76" s="39"/>
      <c r="U76" s="39"/>
      <c r="V76" s="39"/>
      <c r="W76" s="60" t="s">
        <v>1735</v>
      </c>
    </row>
    <row r="77" spans="1:23" s="79" customFormat="1" ht="25.5" x14ac:dyDescent="0.2">
      <c r="A77" s="1" t="s">
        <v>190</v>
      </c>
      <c r="B77" s="2" t="s">
        <v>10</v>
      </c>
      <c r="C77" s="2" t="s">
        <v>191</v>
      </c>
      <c r="D77" s="2" t="s">
        <v>192</v>
      </c>
      <c r="E77" s="2">
        <v>2022</v>
      </c>
      <c r="F77" s="2" t="s">
        <v>1781</v>
      </c>
      <c r="G77" s="2" t="s">
        <v>3095</v>
      </c>
      <c r="H77" s="2" t="s">
        <v>3092</v>
      </c>
      <c r="I77" s="1" t="s">
        <v>14</v>
      </c>
      <c r="J77" s="1" t="s">
        <v>3188</v>
      </c>
      <c r="K77" s="17"/>
      <c r="L77" s="54"/>
      <c r="M77" s="39"/>
      <c r="N77" s="39"/>
      <c r="O77" s="39"/>
      <c r="P77" s="39"/>
      <c r="Q77" s="39"/>
      <c r="R77" s="39"/>
      <c r="S77" s="39"/>
      <c r="T77" s="39"/>
      <c r="U77" s="39"/>
      <c r="V77" s="39"/>
      <c r="W77" s="60" t="s">
        <v>1735</v>
      </c>
    </row>
    <row r="78" spans="1:23" s="79" customFormat="1" ht="25.5" x14ac:dyDescent="0.2">
      <c r="A78" s="1" t="s">
        <v>190</v>
      </c>
      <c r="B78" s="2" t="s">
        <v>10</v>
      </c>
      <c r="C78" s="2" t="s">
        <v>191</v>
      </c>
      <c r="D78" s="2" t="s">
        <v>192</v>
      </c>
      <c r="E78" s="2">
        <v>2022</v>
      </c>
      <c r="F78" s="2" t="s">
        <v>1783</v>
      </c>
      <c r="G78" s="2" t="s">
        <v>3095</v>
      </c>
      <c r="H78" s="2" t="s">
        <v>3092</v>
      </c>
      <c r="I78" s="1" t="s">
        <v>14</v>
      </c>
      <c r="J78" s="1" t="s">
        <v>890</v>
      </c>
      <c r="K78" s="17"/>
      <c r="L78" s="54"/>
      <c r="M78" s="39"/>
      <c r="N78" s="39"/>
      <c r="O78" s="39"/>
      <c r="P78" s="39"/>
      <c r="Q78" s="39"/>
      <c r="R78" s="39"/>
      <c r="S78" s="39"/>
      <c r="T78" s="39"/>
      <c r="U78" s="39"/>
      <c r="V78" s="39"/>
      <c r="W78" s="60" t="s">
        <v>1735</v>
      </c>
    </row>
    <row r="79" spans="1:23" s="79" customFormat="1" ht="25.5" x14ac:dyDescent="0.2">
      <c r="A79" s="1" t="s">
        <v>190</v>
      </c>
      <c r="B79" s="2" t="s">
        <v>10</v>
      </c>
      <c r="C79" s="2" t="s">
        <v>191</v>
      </c>
      <c r="D79" s="2" t="s">
        <v>192</v>
      </c>
      <c r="E79" s="2">
        <v>2022</v>
      </c>
      <c r="F79" s="2" t="s">
        <v>1785</v>
      </c>
      <c r="G79" s="2" t="s">
        <v>3095</v>
      </c>
      <c r="H79" s="2" t="s">
        <v>3092</v>
      </c>
      <c r="I79" s="1" t="s">
        <v>14</v>
      </c>
      <c r="J79" s="1" t="s">
        <v>890</v>
      </c>
      <c r="K79" s="17"/>
      <c r="L79" s="54"/>
      <c r="M79" s="39"/>
      <c r="N79" s="39"/>
      <c r="O79" s="39"/>
      <c r="P79" s="39"/>
      <c r="Q79" s="39"/>
      <c r="R79" s="39"/>
      <c r="S79" s="39"/>
      <c r="T79" s="39"/>
      <c r="U79" s="39"/>
      <c r="V79" s="39"/>
      <c r="W79" s="60" t="s">
        <v>1735</v>
      </c>
    </row>
    <row r="80" spans="1:23" s="79" customFormat="1" ht="25.5" x14ac:dyDescent="0.2">
      <c r="A80" s="1" t="s">
        <v>190</v>
      </c>
      <c r="B80" s="2" t="s">
        <v>10</v>
      </c>
      <c r="C80" s="2" t="s">
        <v>191</v>
      </c>
      <c r="D80" s="2" t="s">
        <v>192</v>
      </c>
      <c r="E80" s="2">
        <v>2022</v>
      </c>
      <c r="F80" s="2" t="s">
        <v>1787</v>
      </c>
      <c r="G80" s="2" t="s">
        <v>3095</v>
      </c>
      <c r="H80" s="2" t="s">
        <v>3092</v>
      </c>
      <c r="I80" s="1" t="s">
        <v>14</v>
      </c>
      <c r="J80" s="1" t="s">
        <v>3189</v>
      </c>
      <c r="K80" s="17"/>
      <c r="L80" s="54"/>
      <c r="M80" s="39"/>
      <c r="N80" s="39"/>
      <c r="O80" s="39"/>
      <c r="P80" s="39"/>
      <c r="Q80" s="39"/>
      <c r="R80" s="39"/>
      <c r="S80" s="39"/>
      <c r="T80" s="39"/>
      <c r="U80" s="39"/>
      <c r="V80" s="39"/>
      <c r="W80" s="60" t="s">
        <v>1735</v>
      </c>
    </row>
    <row r="81" spans="1:23" s="79" customFormat="1" ht="25.5" x14ac:dyDescent="0.2">
      <c r="A81" s="1" t="s">
        <v>190</v>
      </c>
      <c r="B81" s="2" t="s">
        <v>10</v>
      </c>
      <c r="C81" s="2" t="s">
        <v>191</v>
      </c>
      <c r="D81" s="2" t="s">
        <v>192</v>
      </c>
      <c r="E81" s="2">
        <v>2022</v>
      </c>
      <c r="F81" s="2" t="s">
        <v>1789</v>
      </c>
      <c r="G81" s="2" t="s">
        <v>3095</v>
      </c>
      <c r="H81" s="2" t="s">
        <v>3092</v>
      </c>
      <c r="I81" s="1" t="s">
        <v>14</v>
      </c>
      <c r="J81" s="1" t="s">
        <v>3190</v>
      </c>
      <c r="K81" s="17"/>
      <c r="L81" s="54"/>
      <c r="M81" s="39"/>
      <c r="N81" s="39"/>
      <c r="O81" s="39"/>
      <c r="P81" s="39"/>
      <c r="Q81" s="39"/>
      <c r="R81" s="39"/>
      <c r="S81" s="39"/>
      <c r="T81" s="39"/>
      <c r="U81" s="39"/>
      <c r="V81" s="39"/>
      <c r="W81" s="60" t="s">
        <v>1735</v>
      </c>
    </row>
    <row r="82" spans="1:23" s="79" customFormat="1" ht="25.5" x14ac:dyDescent="0.2">
      <c r="A82" s="1" t="s">
        <v>190</v>
      </c>
      <c r="B82" s="2" t="s">
        <v>10</v>
      </c>
      <c r="C82" s="2" t="s">
        <v>191</v>
      </c>
      <c r="D82" s="2" t="s">
        <v>192</v>
      </c>
      <c r="E82" s="2">
        <v>2022</v>
      </c>
      <c r="F82" s="2" t="s">
        <v>1791</v>
      </c>
      <c r="G82" s="2" t="s">
        <v>3095</v>
      </c>
      <c r="H82" s="2" t="s">
        <v>3092</v>
      </c>
      <c r="I82" s="1" t="s">
        <v>14</v>
      </c>
      <c r="J82" s="1" t="s">
        <v>272</v>
      </c>
      <c r="K82" s="17"/>
      <c r="L82" s="54"/>
      <c r="M82" s="39"/>
      <c r="N82" s="39"/>
      <c r="O82" s="39"/>
      <c r="P82" s="39"/>
      <c r="Q82" s="39"/>
      <c r="R82" s="39"/>
      <c r="S82" s="39"/>
      <c r="T82" s="39"/>
      <c r="U82" s="39"/>
      <c r="V82" s="39"/>
      <c r="W82" s="60" t="s">
        <v>1735</v>
      </c>
    </row>
    <row r="83" spans="1:23" s="79" customFormat="1" ht="25.5" x14ac:dyDescent="0.2">
      <c r="A83" s="1" t="s">
        <v>190</v>
      </c>
      <c r="B83" s="2" t="s">
        <v>10</v>
      </c>
      <c r="C83" s="2" t="s">
        <v>191</v>
      </c>
      <c r="D83" s="2" t="s">
        <v>192</v>
      </c>
      <c r="E83" s="2">
        <v>2022</v>
      </c>
      <c r="F83" s="2" t="s">
        <v>311</v>
      </c>
      <c r="G83" s="2" t="s">
        <v>3095</v>
      </c>
      <c r="H83" s="2" t="s">
        <v>3092</v>
      </c>
      <c r="I83" s="1" t="s">
        <v>14</v>
      </c>
      <c r="J83" s="1" t="s">
        <v>890</v>
      </c>
      <c r="K83" s="17"/>
      <c r="L83" s="54"/>
      <c r="M83" s="39"/>
      <c r="N83" s="39"/>
      <c r="O83" s="39"/>
      <c r="P83" s="39"/>
      <c r="Q83" s="39"/>
      <c r="R83" s="39"/>
      <c r="S83" s="39"/>
      <c r="T83" s="39"/>
      <c r="U83" s="39"/>
      <c r="V83" s="39"/>
      <c r="W83" s="60" t="s">
        <v>1735</v>
      </c>
    </row>
    <row r="84" spans="1:23" s="79" customFormat="1" ht="25.5" x14ac:dyDescent="0.2">
      <c r="A84" s="1" t="s">
        <v>190</v>
      </c>
      <c r="B84" s="2" t="s">
        <v>10</v>
      </c>
      <c r="C84" s="2" t="s">
        <v>191</v>
      </c>
      <c r="D84" s="2" t="s">
        <v>192</v>
      </c>
      <c r="E84" s="2">
        <v>2022</v>
      </c>
      <c r="F84" s="2" t="s">
        <v>1794</v>
      </c>
      <c r="G84" s="2" t="s">
        <v>3095</v>
      </c>
      <c r="H84" s="2" t="s">
        <v>3092</v>
      </c>
      <c r="I84" s="1" t="s">
        <v>14</v>
      </c>
      <c r="J84" s="1" t="s">
        <v>890</v>
      </c>
      <c r="K84" s="17"/>
      <c r="L84" s="54"/>
      <c r="M84" s="39"/>
      <c r="N84" s="39"/>
      <c r="O84" s="39"/>
      <c r="P84" s="39"/>
      <c r="Q84" s="39"/>
      <c r="R84" s="39"/>
      <c r="S84" s="39"/>
      <c r="T84" s="39"/>
      <c r="U84" s="39"/>
      <c r="V84" s="39"/>
      <c r="W84" s="60" t="s">
        <v>1735</v>
      </c>
    </row>
    <row r="85" spans="1:23" s="79" customFormat="1" ht="25.5" x14ac:dyDescent="0.2">
      <c r="A85" s="1" t="s">
        <v>190</v>
      </c>
      <c r="B85" s="2" t="s">
        <v>10</v>
      </c>
      <c r="C85" s="2" t="s">
        <v>191</v>
      </c>
      <c r="D85" s="2" t="s">
        <v>192</v>
      </c>
      <c r="E85" s="2">
        <v>2022</v>
      </c>
      <c r="F85" s="2" t="s">
        <v>1796</v>
      </c>
      <c r="G85" s="2" t="s">
        <v>3095</v>
      </c>
      <c r="H85" s="2" t="s">
        <v>3092</v>
      </c>
      <c r="I85" s="1" t="s">
        <v>14</v>
      </c>
      <c r="J85" s="1" t="s">
        <v>890</v>
      </c>
      <c r="K85" s="17"/>
      <c r="L85" s="54"/>
      <c r="M85" s="39"/>
      <c r="N85" s="39"/>
      <c r="O85" s="39"/>
      <c r="P85" s="39"/>
      <c r="Q85" s="39"/>
      <c r="R85" s="39"/>
      <c r="S85" s="39"/>
      <c r="T85" s="39"/>
      <c r="U85" s="39"/>
      <c r="V85" s="39"/>
      <c r="W85" s="60" t="s">
        <v>1735</v>
      </c>
    </row>
    <row r="86" spans="1:23" s="79" customFormat="1" ht="25.5" x14ac:dyDescent="0.2">
      <c r="A86" s="1" t="s">
        <v>190</v>
      </c>
      <c r="B86" s="2" t="s">
        <v>10</v>
      </c>
      <c r="C86" s="2" t="s">
        <v>191</v>
      </c>
      <c r="D86" s="2" t="s">
        <v>192</v>
      </c>
      <c r="E86" s="2">
        <v>2022</v>
      </c>
      <c r="F86" s="2" t="s">
        <v>1798</v>
      </c>
      <c r="G86" s="2" t="s">
        <v>3095</v>
      </c>
      <c r="H86" s="2" t="s">
        <v>3092</v>
      </c>
      <c r="I86" s="1" t="s">
        <v>14</v>
      </c>
      <c r="J86" s="1" t="s">
        <v>3191</v>
      </c>
      <c r="K86" s="17"/>
      <c r="L86" s="54"/>
      <c r="M86" s="39"/>
      <c r="N86" s="39"/>
      <c r="O86" s="39"/>
      <c r="P86" s="39"/>
      <c r="Q86" s="39"/>
      <c r="R86" s="39"/>
      <c r="S86" s="39"/>
      <c r="T86" s="39"/>
      <c r="U86" s="39"/>
      <c r="V86" s="39"/>
      <c r="W86" s="60" t="s">
        <v>1735</v>
      </c>
    </row>
    <row r="87" spans="1:23" s="79" customFormat="1" ht="25.5" x14ac:dyDescent="0.2">
      <c r="A87" s="1" t="s">
        <v>3192</v>
      </c>
      <c r="B87" s="2" t="s">
        <v>318</v>
      </c>
      <c r="C87" s="2" t="s">
        <v>3193</v>
      </c>
      <c r="D87" s="2" t="s">
        <v>305</v>
      </c>
      <c r="E87" s="2">
        <v>2022</v>
      </c>
      <c r="F87" s="2" t="s">
        <v>1794</v>
      </c>
      <c r="G87" s="2" t="s">
        <v>3092</v>
      </c>
      <c r="H87" s="2" t="s">
        <v>3092</v>
      </c>
      <c r="I87" s="1" t="s">
        <v>3194</v>
      </c>
      <c r="J87" s="1" t="s">
        <v>3195</v>
      </c>
      <c r="K87" s="17"/>
      <c r="L87" s="54"/>
      <c r="M87" s="39"/>
      <c r="N87" s="39"/>
      <c r="O87" s="39"/>
      <c r="P87" s="39"/>
      <c r="Q87" s="39"/>
      <c r="R87" s="39"/>
      <c r="S87" s="39"/>
      <c r="T87" s="39"/>
      <c r="U87" s="39"/>
      <c r="V87" s="39"/>
      <c r="W87" s="60" t="s">
        <v>1683</v>
      </c>
    </row>
    <row r="88" spans="1:23" s="79" customFormat="1" ht="89.25" x14ac:dyDescent="0.2">
      <c r="A88" s="1" t="s">
        <v>382</v>
      </c>
      <c r="B88" s="2" t="s">
        <v>383</v>
      </c>
      <c r="C88" s="2" t="s">
        <v>384</v>
      </c>
      <c r="D88" s="2" t="s">
        <v>115</v>
      </c>
      <c r="E88" s="2">
        <v>2022</v>
      </c>
      <c r="F88" s="2" t="s">
        <v>1789</v>
      </c>
      <c r="G88" s="2" t="s">
        <v>3092</v>
      </c>
      <c r="H88" s="2" t="s">
        <v>3092</v>
      </c>
      <c r="I88" s="1" t="s">
        <v>3196</v>
      </c>
      <c r="J88" s="1" t="s">
        <v>3197</v>
      </c>
      <c r="K88" s="17"/>
      <c r="L88" s="54">
        <v>3.3000000000000002E-2</v>
      </c>
      <c r="M88" s="39"/>
      <c r="N88" s="39"/>
      <c r="O88" s="39">
        <v>2320</v>
      </c>
      <c r="P88" s="39"/>
      <c r="Q88" s="39"/>
      <c r="R88" s="39"/>
      <c r="S88" s="39"/>
      <c r="T88" s="39"/>
      <c r="U88" s="39"/>
      <c r="V88" s="39"/>
      <c r="W88" s="60" t="s">
        <v>1699</v>
      </c>
    </row>
    <row r="89" spans="1:23" s="79" customFormat="1" ht="25.5" x14ac:dyDescent="0.2">
      <c r="A89" s="1" t="s">
        <v>397</v>
      </c>
      <c r="B89" s="2" t="s">
        <v>10</v>
      </c>
      <c r="C89" s="2" t="s">
        <v>398</v>
      </c>
      <c r="D89" s="2" t="s">
        <v>399</v>
      </c>
      <c r="E89" s="2">
        <v>2022</v>
      </c>
      <c r="F89" s="2" t="s">
        <v>1783</v>
      </c>
      <c r="G89" s="2" t="s">
        <v>3095</v>
      </c>
      <c r="H89" s="2" t="s">
        <v>3092</v>
      </c>
      <c r="I89" s="1" t="s">
        <v>14</v>
      </c>
      <c r="J89" s="1" t="s">
        <v>3198</v>
      </c>
      <c r="K89" s="17"/>
      <c r="L89" s="54"/>
      <c r="M89" s="15"/>
      <c r="N89" s="15"/>
      <c r="O89" s="15"/>
      <c r="P89" s="15"/>
      <c r="Q89" s="15"/>
      <c r="R89" s="15"/>
      <c r="S89" s="15"/>
      <c r="T89" s="15"/>
      <c r="U89" s="15"/>
      <c r="V89" s="15"/>
      <c r="W89" s="60" t="s">
        <v>1735</v>
      </c>
    </row>
    <row r="90" spans="1:23" s="79" customFormat="1" ht="38.25" x14ac:dyDescent="0.2">
      <c r="A90" s="1" t="s">
        <v>1902</v>
      </c>
      <c r="B90" s="2" t="s">
        <v>53</v>
      </c>
      <c r="C90" s="2" t="s">
        <v>1903</v>
      </c>
      <c r="D90" s="2" t="s">
        <v>239</v>
      </c>
      <c r="E90" s="2">
        <v>2022</v>
      </c>
      <c r="F90" s="2" t="s">
        <v>1798</v>
      </c>
      <c r="G90" s="2" t="s">
        <v>3095</v>
      </c>
      <c r="H90" s="2" t="s">
        <v>3092</v>
      </c>
      <c r="I90" s="1" t="s">
        <v>14</v>
      </c>
      <c r="J90" s="1" t="s">
        <v>3199</v>
      </c>
      <c r="K90" s="17"/>
      <c r="L90" s="54" t="s">
        <v>1670</v>
      </c>
      <c r="M90" s="39"/>
      <c r="N90" s="39"/>
      <c r="O90" s="39">
        <f>140*0.8</f>
        <v>112</v>
      </c>
      <c r="P90" s="39"/>
      <c r="Q90" s="39"/>
      <c r="R90" s="39"/>
      <c r="S90" s="39"/>
      <c r="T90" s="39"/>
      <c r="U90" s="39"/>
      <c r="V90" s="39"/>
      <c r="W90" s="60" t="s">
        <v>1680</v>
      </c>
    </row>
    <row r="91" spans="1:23" s="79" customFormat="1" ht="38.25" x14ac:dyDescent="0.2">
      <c r="A91" s="1" t="s">
        <v>1917</v>
      </c>
      <c r="B91" s="2" t="s">
        <v>32</v>
      </c>
      <c r="C91" s="2" t="s">
        <v>1918</v>
      </c>
      <c r="D91" s="2" t="s">
        <v>246</v>
      </c>
      <c r="E91" s="2">
        <v>2022</v>
      </c>
      <c r="F91" s="2" t="s">
        <v>1796</v>
      </c>
      <c r="G91" s="2" t="s">
        <v>3095</v>
      </c>
      <c r="H91" s="2" t="s">
        <v>3092</v>
      </c>
      <c r="I91" s="1" t="s">
        <v>14</v>
      </c>
      <c r="J91" s="1" t="s">
        <v>3200</v>
      </c>
      <c r="K91" s="17"/>
      <c r="L91" s="54"/>
      <c r="M91" s="39"/>
      <c r="N91" s="39"/>
      <c r="O91" s="39"/>
      <c r="P91" s="39"/>
      <c r="Q91" s="39"/>
      <c r="R91" s="39">
        <v>90</v>
      </c>
      <c r="S91" s="39"/>
      <c r="T91" s="39"/>
      <c r="U91" s="39"/>
      <c r="V91" s="39"/>
      <c r="W91" s="60" t="s">
        <v>1699</v>
      </c>
    </row>
    <row r="92" spans="1:23" s="79" customFormat="1" ht="76.5" x14ac:dyDescent="0.2">
      <c r="A92" s="1" t="s">
        <v>178</v>
      </c>
      <c r="B92" s="2" t="s">
        <v>38</v>
      </c>
      <c r="C92" s="2" t="s">
        <v>179</v>
      </c>
      <c r="D92" s="2" t="s">
        <v>173</v>
      </c>
      <c r="E92" s="2">
        <v>2022</v>
      </c>
      <c r="F92" s="2" t="s">
        <v>1776</v>
      </c>
      <c r="G92" s="2" t="s">
        <v>3095</v>
      </c>
      <c r="H92" s="2" t="s">
        <v>3092</v>
      </c>
      <c r="I92" s="1" t="s">
        <v>14</v>
      </c>
      <c r="J92" s="1" t="s">
        <v>3201</v>
      </c>
      <c r="K92" s="17"/>
      <c r="L92" s="80"/>
      <c r="M92" s="15"/>
      <c r="N92" s="15"/>
      <c r="O92" s="15"/>
      <c r="P92" s="15"/>
      <c r="Q92" s="15"/>
      <c r="R92" s="15"/>
      <c r="S92" s="15"/>
      <c r="T92" s="15"/>
      <c r="U92" s="15"/>
      <c r="V92" s="15"/>
      <c r="W92" s="60" t="s">
        <v>3202</v>
      </c>
    </row>
    <row r="93" spans="1:23" s="79" customFormat="1" ht="51" x14ac:dyDescent="0.2">
      <c r="A93" s="1" t="s">
        <v>178</v>
      </c>
      <c r="B93" s="2" t="s">
        <v>38</v>
      </c>
      <c r="C93" s="2" t="s">
        <v>179</v>
      </c>
      <c r="D93" s="2" t="s">
        <v>173</v>
      </c>
      <c r="E93" s="2">
        <v>2022</v>
      </c>
      <c r="F93" s="2" t="s">
        <v>1779</v>
      </c>
      <c r="G93" s="2" t="s">
        <v>3095</v>
      </c>
      <c r="H93" s="2" t="s">
        <v>3092</v>
      </c>
      <c r="I93" s="1" t="s">
        <v>14</v>
      </c>
      <c r="J93" s="1" t="s">
        <v>3203</v>
      </c>
      <c r="K93" s="17"/>
      <c r="L93" s="54"/>
      <c r="M93" s="39"/>
      <c r="N93" s="39"/>
      <c r="O93" s="39"/>
      <c r="P93" s="39"/>
      <c r="Q93" s="39"/>
      <c r="R93" s="39"/>
      <c r="S93" s="39"/>
      <c r="T93" s="39"/>
      <c r="U93" s="39"/>
      <c r="V93" s="39"/>
      <c r="W93" s="60" t="s">
        <v>3202</v>
      </c>
    </row>
    <row r="94" spans="1:23" s="79" customFormat="1" ht="63.75" x14ac:dyDescent="0.2">
      <c r="A94" s="1" t="s">
        <v>178</v>
      </c>
      <c r="B94" s="2" t="s">
        <v>38</v>
      </c>
      <c r="C94" s="2" t="s">
        <v>179</v>
      </c>
      <c r="D94" s="2" t="s">
        <v>173</v>
      </c>
      <c r="E94" s="2">
        <v>2022</v>
      </c>
      <c r="F94" s="2" t="s">
        <v>1781</v>
      </c>
      <c r="G94" s="2" t="s">
        <v>3095</v>
      </c>
      <c r="H94" s="2" t="s">
        <v>3092</v>
      </c>
      <c r="I94" s="1" t="s">
        <v>14</v>
      </c>
      <c r="J94" s="1" t="s">
        <v>3204</v>
      </c>
      <c r="K94" s="17"/>
      <c r="L94" s="54"/>
      <c r="M94" s="39"/>
      <c r="N94" s="39"/>
      <c r="O94" s="39"/>
      <c r="P94" s="39"/>
      <c r="Q94" s="39"/>
      <c r="R94" s="39"/>
      <c r="S94" s="39"/>
      <c r="T94" s="39"/>
      <c r="U94" s="39"/>
      <c r="V94" s="39"/>
      <c r="W94" s="60" t="s">
        <v>3202</v>
      </c>
    </row>
    <row r="95" spans="1:23" s="79" customFormat="1" ht="63.75" x14ac:dyDescent="0.2">
      <c r="A95" s="1" t="s">
        <v>178</v>
      </c>
      <c r="B95" s="2" t="s">
        <v>38</v>
      </c>
      <c r="C95" s="2" t="s">
        <v>179</v>
      </c>
      <c r="D95" s="2" t="s">
        <v>173</v>
      </c>
      <c r="E95" s="2">
        <v>2022</v>
      </c>
      <c r="F95" s="2" t="s">
        <v>1783</v>
      </c>
      <c r="G95" s="2" t="s">
        <v>3095</v>
      </c>
      <c r="H95" s="2" t="s">
        <v>3092</v>
      </c>
      <c r="I95" s="1" t="s">
        <v>14</v>
      </c>
      <c r="J95" s="1" t="s">
        <v>3205</v>
      </c>
      <c r="K95" s="17"/>
      <c r="L95" s="54"/>
      <c r="M95" s="39"/>
      <c r="N95" s="39"/>
      <c r="O95" s="39"/>
      <c r="P95" s="39"/>
      <c r="Q95" s="39"/>
      <c r="R95" s="39"/>
      <c r="S95" s="39"/>
      <c r="T95" s="39"/>
      <c r="U95" s="39"/>
      <c r="V95" s="39"/>
      <c r="W95" s="60" t="s">
        <v>3202</v>
      </c>
    </row>
    <row r="96" spans="1:23" s="79" customFormat="1" ht="63.75" x14ac:dyDescent="0.2">
      <c r="A96" s="1" t="s">
        <v>178</v>
      </c>
      <c r="B96" s="2" t="s">
        <v>38</v>
      </c>
      <c r="C96" s="2" t="s">
        <v>179</v>
      </c>
      <c r="D96" s="2" t="s">
        <v>173</v>
      </c>
      <c r="E96" s="2">
        <v>2022</v>
      </c>
      <c r="F96" s="2" t="s">
        <v>1785</v>
      </c>
      <c r="G96" s="2" t="s">
        <v>3095</v>
      </c>
      <c r="H96" s="2" t="s">
        <v>3092</v>
      </c>
      <c r="I96" s="1" t="s">
        <v>14</v>
      </c>
      <c r="J96" s="1" t="s">
        <v>3206</v>
      </c>
      <c r="K96" s="17"/>
      <c r="L96" s="54"/>
      <c r="M96" s="39"/>
      <c r="N96" s="39"/>
      <c r="O96" s="39"/>
      <c r="P96" s="39"/>
      <c r="Q96" s="39"/>
      <c r="R96" s="39"/>
      <c r="S96" s="39"/>
      <c r="T96" s="39"/>
      <c r="U96" s="39"/>
      <c r="V96" s="39"/>
      <c r="W96" s="60" t="s">
        <v>3202</v>
      </c>
    </row>
    <row r="97" spans="1:23" s="79" customFormat="1" ht="38.25" x14ac:dyDescent="0.2">
      <c r="A97" s="1" t="s">
        <v>178</v>
      </c>
      <c r="B97" s="2" t="s">
        <v>38</v>
      </c>
      <c r="C97" s="2" t="s">
        <v>179</v>
      </c>
      <c r="D97" s="2" t="s">
        <v>173</v>
      </c>
      <c r="E97" s="2">
        <v>2022</v>
      </c>
      <c r="F97" s="2" t="s">
        <v>1787</v>
      </c>
      <c r="G97" s="2" t="s">
        <v>3095</v>
      </c>
      <c r="H97" s="2" t="s">
        <v>3092</v>
      </c>
      <c r="I97" s="1" t="s">
        <v>14</v>
      </c>
      <c r="J97" s="1" t="s">
        <v>3207</v>
      </c>
      <c r="K97" s="17"/>
      <c r="L97" s="54"/>
      <c r="M97" s="39"/>
      <c r="N97" s="39"/>
      <c r="O97" s="39"/>
      <c r="P97" s="39"/>
      <c r="Q97" s="39"/>
      <c r="R97" s="39"/>
      <c r="S97" s="39"/>
      <c r="T97" s="39"/>
      <c r="U97" s="39"/>
      <c r="V97" s="39"/>
      <c r="W97" s="60" t="s">
        <v>3202</v>
      </c>
    </row>
    <row r="98" spans="1:23" s="79" customFormat="1" ht="38.25" x14ac:dyDescent="0.2">
      <c r="A98" s="1" t="s">
        <v>178</v>
      </c>
      <c r="B98" s="2" t="s">
        <v>38</v>
      </c>
      <c r="C98" s="2" t="s">
        <v>179</v>
      </c>
      <c r="D98" s="2" t="s">
        <v>173</v>
      </c>
      <c r="E98" s="2">
        <v>2022</v>
      </c>
      <c r="F98" s="2" t="s">
        <v>1789</v>
      </c>
      <c r="G98" s="2" t="s">
        <v>3095</v>
      </c>
      <c r="H98" s="2" t="s">
        <v>3092</v>
      </c>
      <c r="I98" s="1" t="s">
        <v>14</v>
      </c>
      <c r="J98" s="1" t="s">
        <v>3208</v>
      </c>
      <c r="K98" s="17"/>
      <c r="L98" s="54"/>
      <c r="M98" s="39"/>
      <c r="N98" s="39"/>
      <c r="O98" s="39"/>
      <c r="P98" s="39"/>
      <c r="Q98" s="39"/>
      <c r="R98" s="39"/>
      <c r="S98" s="39"/>
      <c r="T98" s="39"/>
      <c r="U98" s="39"/>
      <c r="V98" s="39"/>
      <c r="W98" s="60" t="s">
        <v>3202</v>
      </c>
    </row>
    <row r="99" spans="1:23" s="79" customFormat="1" ht="38.25" x14ac:dyDescent="0.2">
      <c r="A99" s="1" t="s">
        <v>178</v>
      </c>
      <c r="B99" s="2" t="s">
        <v>38</v>
      </c>
      <c r="C99" s="2" t="s">
        <v>179</v>
      </c>
      <c r="D99" s="2" t="s">
        <v>173</v>
      </c>
      <c r="E99" s="2">
        <v>2022</v>
      </c>
      <c r="F99" s="2" t="s">
        <v>1791</v>
      </c>
      <c r="G99" s="2" t="s">
        <v>3095</v>
      </c>
      <c r="H99" s="2" t="s">
        <v>3092</v>
      </c>
      <c r="I99" s="1" t="s">
        <v>14</v>
      </c>
      <c r="J99" s="1" t="s">
        <v>3209</v>
      </c>
      <c r="K99" s="17"/>
      <c r="L99" s="54"/>
      <c r="M99" s="39"/>
      <c r="N99" s="39"/>
      <c r="O99" s="39"/>
      <c r="P99" s="39"/>
      <c r="Q99" s="39"/>
      <c r="R99" s="39"/>
      <c r="S99" s="39"/>
      <c r="T99" s="39"/>
      <c r="U99" s="39"/>
      <c r="V99" s="39"/>
      <c r="W99" s="60" t="s">
        <v>3202</v>
      </c>
    </row>
    <row r="100" spans="1:23" s="79" customFormat="1" ht="76.5" x14ac:dyDescent="0.2">
      <c r="A100" s="1" t="s">
        <v>178</v>
      </c>
      <c r="B100" s="2" t="s">
        <v>38</v>
      </c>
      <c r="C100" s="2" t="s">
        <v>179</v>
      </c>
      <c r="D100" s="2" t="s">
        <v>173</v>
      </c>
      <c r="E100" s="2">
        <v>2022</v>
      </c>
      <c r="F100" s="2" t="s">
        <v>311</v>
      </c>
      <c r="G100" s="2" t="s">
        <v>3095</v>
      </c>
      <c r="H100" s="2" t="s">
        <v>3092</v>
      </c>
      <c r="I100" s="1" t="s">
        <v>14</v>
      </c>
      <c r="J100" s="1" t="s">
        <v>3210</v>
      </c>
      <c r="K100" s="17"/>
      <c r="L100" s="54"/>
      <c r="M100" s="39"/>
      <c r="N100" s="39"/>
      <c r="O100" s="39"/>
      <c r="P100" s="39"/>
      <c r="Q100" s="39"/>
      <c r="R100" s="39"/>
      <c r="S100" s="39"/>
      <c r="T100" s="39"/>
      <c r="U100" s="39"/>
      <c r="V100" s="39"/>
      <c r="W100" s="60" t="s">
        <v>3202</v>
      </c>
    </row>
    <row r="101" spans="1:23" s="79" customFormat="1" ht="102" x14ac:dyDescent="0.2">
      <c r="A101" s="1" t="s">
        <v>178</v>
      </c>
      <c r="B101" s="2" t="s">
        <v>38</v>
      </c>
      <c r="C101" s="2" t="s">
        <v>179</v>
      </c>
      <c r="D101" s="2" t="s">
        <v>173</v>
      </c>
      <c r="E101" s="2">
        <v>2022</v>
      </c>
      <c r="F101" s="2" t="s">
        <v>1794</v>
      </c>
      <c r="G101" s="2" t="s">
        <v>3095</v>
      </c>
      <c r="H101" s="2" t="s">
        <v>3092</v>
      </c>
      <c r="I101" s="1" t="s">
        <v>14</v>
      </c>
      <c r="J101" s="1" t="s">
        <v>3211</v>
      </c>
      <c r="K101" s="17"/>
      <c r="L101" s="54"/>
      <c r="M101" s="39"/>
      <c r="N101" s="39"/>
      <c r="O101" s="39"/>
      <c r="P101" s="39"/>
      <c r="Q101" s="39"/>
      <c r="R101" s="39"/>
      <c r="S101" s="39"/>
      <c r="T101" s="39"/>
      <c r="U101" s="39"/>
      <c r="V101" s="39"/>
      <c r="W101" s="60" t="s">
        <v>3202</v>
      </c>
    </row>
    <row r="102" spans="1:23" s="79" customFormat="1" ht="63.75" x14ac:dyDescent="0.2">
      <c r="A102" s="1" t="s">
        <v>178</v>
      </c>
      <c r="B102" s="2" t="s">
        <v>38</v>
      </c>
      <c r="C102" s="2" t="s">
        <v>179</v>
      </c>
      <c r="D102" s="2" t="s">
        <v>173</v>
      </c>
      <c r="E102" s="2">
        <v>2022</v>
      </c>
      <c r="F102" s="2" t="s">
        <v>1796</v>
      </c>
      <c r="G102" s="2" t="s">
        <v>3095</v>
      </c>
      <c r="H102" s="2" t="s">
        <v>3092</v>
      </c>
      <c r="I102" s="1" t="s">
        <v>14</v>
      </c>
      <c r="J102" s="1" t="s">
        <v>3212</v>
      </c>
      <c r="K102" s="17"/>
      <c r="L102" s="54"/>
      <c r="M102" s="39"/>
      <c r="N102" s="39"/>
      <c r="O102" s="39"/>
      <c r="P102" s="39"/>
      <c r="Q102" s="39"/>
      <c r="R102" s="39"/>
      <c r="S102" s="39"/>
      <c r="T102" s="39"/>
      <c r="U102" s="39"/>
      <c r="V102" s="39"/>
      <c r="W102" s="60" t="s">
        <v>3202</v>
      </c>
    </row>
    <row r="103" spans="1:23" s="79" customFormat="1" ht="51" x14ac:dyDescent="0.2">
      <c r="A103" s="1" t="s">
        <v>178</v>
      </c>
      <c r="B103" s="2" t="s">
        <v>38</v>
      </c>
      <c r="C103" s="2" t="s">
        <v>179</v>
      </c>
      <c r="D103" s="2" t="s">
        <v>173</v>
      </c>
      <c r="E103" s="2">
        <v>2022</v>
      </c>
      <c r="F103" s="2" t="s">
        <v>1798</v>
      </c>
      <c r="G103" s="2" t="s">
        <v>3095</v>
      </c>
      <c r="H103" s="2" t="s">
        <v>3092</v>
      </c>
      <c r="I103" s="1" t="s">
        <v>14</v>
      </c>
      <c r="J103" s="1" t="s">
        <v>3213</v>
      </c>
      <c r="K103" s="17"/>
      <c r="L103" s="54"/>
      <c r="M103" s="39"/>
      <c r="N103" s="39"/>
      <c r="O103" s="39"/>
      <c r="P103" s="39"/>
      <c r="Q103" s="39"/>
      <c r="R103" s="39"/>
      <c r="S103" s="39"/>
      <c r="T103" s="39"/>
      <c r="U103" s="39"/>
      <c r="V103" s="39"/>
      <c r="W103" s="60" t="s">
        <v>3202</v>
      </c>
    </row>
    <row r="104" spans="1:23" s="79" customFormat="1" ht="25.5" x14ac:dyDescent="0.2">
      <c r="A104" s="1" t="s">
        <v>125</v>
      </c>
      <c r="B104" s="2" t="s">
        <v>10</v>
      </c>
      <c r="C104" s="2" t="s">
        <v>126</v>
      </c>
      <c r="D104" s="2" t="s">
        <v>124</v>
      </c>
      <c r="E104" s="2">
        <v>2022</v>
      </c>
      <c r="F104" s="2" t="s">
        <v>1776</v>
      </c>
      <c r="G104" s="2" t="s">
        <v>3095</v>
      </c>
      <c r="H104" s="2" t="s">
        <v>3092</v>
      </c>
      <c r="I104" s="1" t="s">
        <v>14</v>
      </c>
      <c r="J104" s="1" t="s">
        <v>3214</v>
      </c>
      <c r="K104" s="17"/>
      <c r="L104" s="54"/>
      <c r="M104" s="39"/>
      <c r="N104" s="39"/>
      <c r="O104" s="39"/>
      <c r="P104" s="39"/>
      <c r="Q104" s="39"/>
      <c r="R104" s="39"/>
      <c r="S104" s="39"/>
      <c r="T104" s="39"/>
      <c r="U104" s="39"/>
      <c r="V104" s="39"/>
      <c r="W104" s="60" t="s">
        <v>1735</v>
      </c>
    </row>
    <row r="105" spans="1:23" s="79" customFormat="1" ht="25.5" x14ac:dyDescent="0.2">
      <c r="A105" s="1" t="s">
        <v>125</v>
      </c>
      <c r="B105" s="2" t="s">
        <v>10</v>
      </c>
      <c r="C105" s="2" t="s">
        <v>126</v>
      </c>
      <c r="D105" s="2" t="s">
        <v>124</v>
      </c>
      <c r="E105" s="2">
        <v>2022</v>
      </c>
      <c r="F105" s="2" t="s">
        <v>1779</v>
      </c>
      <c r="G105" s="2" t="s">
        <v>3095</v>
      </c>
      <c r="H105" s="2" t="s">
        <v>3092</v>
      </c>
      <c r="I105" s="1" t="s">
        <v>14</v>
      </c>
      <c r="J105" s="1" t="s">
        <v>3215</v>
      </c>
      <c r="K105" s="17"/>
      <c r="L105" s="54"/>
      <c r="M105" s="39"/>
      <c r="N105" s="39"/>
      <c r="O105" s="39"/>
      <c r="P105" s="39"/>
      <c r="Q105" s="39"/>
      <c r="R105" s="39"/>
      <c r="S105" s="39"/>
      <c r="T105" s="39"/>
      <c r="U105" s="39"/>
      <c r="V105" s="39"/>
      <c r="W105" s="60" t="s">
        <v>1735</v>
      </c>
    </row>
    <row r="106" spans="1:23" s="79" customFormat="1" ht="25.5" x14ac:dyDescent="0.2">
      <c r="A106" s="1" t="s">
        <v>125</v>
      </c>
      <c r="B106" s="2" t="s">
        <v>10</v>
      </c>
      <c r="C106" s="2" t="s">
        <v>126</v>
      </c>
      <c r="D106" s="2" t="s">
        <v>124</v>
      </c>
      <c r="E106" s="2">
        <v>2022</v>
      </c>
      <c r="F106" s="2" t="s">
        <v>1781</v>
      </c>
      <c r="G106" s="2" t="s">
        <v>3095</v>
      </c>
      <c r="H106" s="2" t="s">
        <v>3092</v>
      </c>
      <c r="I106" s="1" t="s">
        <v>14</v>
      </c>
      <c r="J106" s="1" t="s">
        <v>3216</v>
      </c>
      <c r="K106" s="17"/>
      <c r="L106" s="54"/>
      <c r="M106" s="39"/>
      <c r="N106" s="39"/>
      <c r="O106" s="39"/>
      <c r="P106" s="39"/>
      <c r="Q106" s="39"/>
      <c r="R106" s="39"/>
      <c r="S106" s="39"/>
      <c r="T106" s="39"/>
      <c r="U106" s="39"/>
      <c r="V106" s="39"/>
      <c r="W106" s="60" t="s">
        <v>1735</v>
      </c>
    </row>
    <row r="107" spans="1:23" s="79" customFormat="1" ht="25.5" x14ac:dyDescent="0.2">
      <c r="A107" s="1" t="s">
        <v>125</v>
      </c>
      <c r="B107" s="2" t="s">
        <v>10</v>
      </c>
      <c r="C107" s="2" t="s">
        <v>126</v>
      </c>
      <c r="D107" s="2" t="s">
        <v>124</v>
      </c>
      <c r="E107" s="2">
        <v>2022</v>
      </c>
      <c r="F107" s="2" t="s">
        <v>1783</v>
      </c>
      <c r="G107" s="2" t="s">
        <v>3095</v>
      </c>
      <c r="H107" s="2" t="s">
        <v>3092</v>
      </c>
      <c r="I107" s="1" t="s">
        <v>14</v>
      </c>
      <c r="J107" s="1" t="s">
        <v>3217</v>
      </c>
      <c r="K107" s="17"/>
      <c r="L107" s="54"/>
      <c r="M107" s="39"/>
      <c r="N107" s="39"/>
      <c r="O107" s="39"/>
      <c r="P107" s="39"/>
      <c r="Q107" s="39"/>
      <c r="R107" s="39"/>
      <c r="S107" s="39"/>
      <c r="T107" s="39"/>
      <c r="U107" s="39"/>
      <c r="V107" s="39"/>
      <c r="W107" s="60" t="s">
        <v>1735</v>
      </c>
    </row>
    <row r="108" spans="1:23" s="79" customFormat="1" ht="25.5" x14ac:dyDescent="0.2">
      <c r="A108" s="1" t="s">
        <v>125</v>
      </c>
      <c r="B108" s="2" t="s">
        <v>10</v>
      </c>
      <c r="C108" s="2" t="s">
        <v>126</v>
      </c>
      <c r="D108" s="2" t="s">
        <v>124</v>
      </c>
      <c r="E108" s="2">
        <v>2022</v>
      </c>
      <c r="F108" s="2" t="s">
        <v>1785</v>
      </c>
      <c r="G108" s="2" t="s">
        <v>3095</v>
      </c>
      <c r="H108" s="2" t="s">
        <v>3092</v>
      </c>
      <c r="I108" s="1" t="s">
        <v>14</v>
      </c>
      <c r="J108" s="1" t="s">
        <v>3218</v>
      </c>
      <c r="K108" s="17"/>
      <c r="L108" s="54"/>
      <c r="M108" s="39"/>
      <c r="N108" s="39"/>
      <c r="O108" s="39"/>
      <c r="P108" s="39"/>
      <c r="Q108" s="39"/>
      <c r="R108" s="39"/>
      <c r="S108" s="39"/>
      <c r="T108" s="39"/>
      <c r="U108" s="39"/>
      <c r="V108" s="39"/>
      <c r="W108" s="60" t="s">
        <v>1735</v>
      </c>
    </row>
    <row r="109" spans="1:23" s="79" customFormat="1" ht="25.5" x14ac:dyDescent="0.2">
      <c r="A109" s="1" t="s">
        <v>125</v>
      </c>
      <c r="B109" s="2" t="s">
        <v>10</v>
      </c>
      <c r="C109" s="2" t="s">
        <v>126</v>
      </c>
      <c r="D109" s="2" t="s">
        <v>124</v>
      </c>
      <c r="E109" s="2">
        <v>2022</v>
      </c>
      <c r="F109" s="2" t="s">
        <v>1787</v>
      </c>
      <c r="G109" s="2" t="s">
        <v>3095</v>
      </c>
      <c r="H109" s="2" t="s">
        <v>3092</v>
      </c>
      <c r="I109" s="1" t="s">
        <v>14</v>
      </c>
      <c r="J109" s="1" t="s">
        <v>3219</v>
      </c>
      <c r="K109" s="17"/>
      <c r="L109" s="54"/>
      <c r="M109" s="39"/>
      <c r="N109" s="39"/>
      <c r="O109" s="39"/>
      <c r="P109" s="39"/>
      <c r="Q109" s="39"/>
      <c r="R109" s="39"/>
      <c r="S109" s="39"/>
      <c r="T109" s="39"/>
      <c r="U109" s="39"/>
      <c r="V109" s="39"/>
      <c r="W109" s="60" t="s">
        <v>1735</v>
      </c>
    </row>
    <row r="110" spans="1:23" s="79" customFormat="1" ht="25.5" x14ac:dyDescent="0.2">
      <c r="A110" s="1" t="s">
        <v>125</v>
      </c>
      <c r="B110" s="2" t="s">
        <v>10</v>
      </c>
      <c r="C110" s="2" t="s">
        <v>126</v>
      </c>
      <c r="D110" s="2" t="s">
        <v>124</v>
      </c>
      <c r="E110" s="2">
        <v>2022</v>
      </c>
      <c r="F110" s="2" t="s">
        <v>1789</v>
      </c>
      <c r="G110" s="2" t="s">
        <v>3095</v>
      </c>
      <c r="H110" s="2" t="s">
        <v>3092</v>
      </c>
      <c r="I110" s="1" t="s">
        <v>14</v>
      </c>
      <c r="J110" s="1" t="s">
        <v>3220</v>
      </c>
      <c r="K110" s="17"/>
      <c r="L110" s="54"/>
      <c r="M110" s="39"/>
      <c r="N110" s="39"/>
      <c r="O110" s="39"/>
      <c r="P110" s="39"/>
      <c r="Q110" s="39"/>
      <c r="R110" s="39"/>
      <c r="S110" s="39"/>
      <c r="T110" s="39"/>
      <c r="U110" s="39"/>
      <c r="V110" s="39"/>
      <c r="W110" s="60" t="s">
        <v>1735</v>
      </c>
    </row>
    <row r="111" spans="1:23" s="79" customFormat="1" ht="25.5" x14ac:dyDescent="0.2">
      <c r="A111" s="1" t="s">
        <v>125</v>
      </c>
      <c r="B111" s="2" t="s">
        <v>10</v>
      </c>
      <c r="C111" s="2" t="s">
        <v>126</v>
      </c>
      <c r="D111" s="2" t="s">
        <v>124</v>
      </c>
      <c r="E111" s="2">
        <v>2022</v>
      </c>
      <c r="F111" s="2" t="s">
        <v>1791</v>
      </c>
      <c r="G111" s="2" t="s">
        <v>3095</v>
      </c>
      <c r="H111" s="2" t="s">
        <v>3092</v>
      </c>
      <c r="I111" s="1" t="s">
        <v>14</v>
      </c>
      <c r="J111" s="1" t="s">
        <v>3221</v>
      </c>
      <c r="K111" s="17"/>
      <c r="L111" s="54"/>
      <c r="M111" s="39"/>
      <c r="N111" s="39"/>
      <c r="O111" s="39"/>
      <c r="P111" s="39"/>
      <c r="Q111" s="39"/>
      <c r="R111" s="39"/>
      <c r="S111" s="39"/>
      <c r="T111" s="39"/>
      <c r="U111" s="39"/>
      <c r="V111" s="39"/>
      <c r="W111" s="60" t="s">
        <v>1735</v>
      </c>
    </row>
    <row r="112" spans="1:23" s="79" customFormat="1" ht="25.5" x14ac:dyDescent="0.2">
      <c r="A112" s="1" t="s">
        <v>125</v>
      </c>
      <c r="B112" s="2" t="s">
        <v>10</v>
      </c>
      <c r="C112" s="2" t="s">
        <v>126</v>
      </c>
      <c r="D112" s="2" t="s">
        <v>124</v>
      </c>
      <c r="E112" s="2">
        <v>2022</v>
      </c>
      <c r="F112" s="2" t="s">
        <v>311</v>
      </c>
      <c r="G112" s="2" t="s">
        <v>3095</v>
      </c>
      <c r="H112" s="2" t="s">
        <v>3092</v>
      </c>
      <c r="I112" s="1" t="s">
        <v>14</v>
      </c>
      <c r="J112" s="1" t="s">
        <v>3222</v>
      </c>
      <c r="K112" s="17"/>
      <c r="L112" s="54"/>
      <c r="M112" s="39"/>
      <c r="N112" s="39"/>
      <c r="O112" s="39"/>
      <c r="P112" s="39"/>
      <c r="Q112" s="39"/>
      <c r="R112" s="39"/>
      <c r="S112" s="39"/>
      <c r="T112" s="39"/>
      <c r="U112" s="39"/>
      <c r="V112" s="39"/>
      <c r="W112" s="60" t="s">
        <v>1735</v>
      </c>
    </row>
    <row r="113" spans="1:23" s="79" customFormat="1" ht="25.5" x14ac:dyDescent="0.2">
      <c r="A113" s="1" t="s">
        <v>125</v>
      </c>
      <c r="B113" s="2" t="s">
        <v>10</v>
      </c>
      <c r="C113" s="2" t="s">
        <v>126</v>
      </c>
      <c r="D113" s="2" t="s">
        <v>124</v>
      </c>
      <c r="E113" s="2">
        <v>2022</v>
      </c>
      <c r="F113" s="2" t="s">
        <v>1794</v>
      </c>
      <c r="G113" s="2" t="s">
        <v>3095</v>
      </c>
      <c r="H113" s="2" t="s">
        <v>3092</v>
      </c>
      <c r="I113" s="1" t="s">
        <v>14</v>
      </c>
      <c r="J113" s="1" t="s">
        <v>3223</v>
      </c>
      <c r="K113" s="17"/>
      <c r="L113" s="54"/>
      <c r="M113" s="39"/>
      <c r="N113" s="39"/>
      <c r="O113" s="39"/>
      <c r="P113" s="39"/>
      <c r="Q113" s="39"/>
      <c r="R113" s="39"/>
      <c r="S113" s="39"/>
      <c r="T113" s="39"/>
      <c r="U113" s="39"/>
      <c r="V113" s="39"/>
      <c r="W113" s="60" t="s">
        <v>1735</v>
      </c>
    </row>
    <row r="114" spans="1:23" s="79" customFormat="1" ht="25.5" x14ac:dyDescent="0.2">
      <c r="A114" s="1" t="s">
        <v>125</v>
      </c>
      <c r="B114" s="2" t="s">
        <v>10</v>
      </c>
      <c r="C114" s="2" t="s">
        <v>126</v>
      </c>
      <c r="D114" s="2" t="s">
        <v>124</v>
      </c>
      <c r="E114" s="2">
        <v>2022</v>
      </c>
      <c r="F114" s="2" t="s">
        <v>1796</v>
      </c>
      <c r="G114" s="2" t="s">
        <v>3095</v>
      </c>
      <c r="H114" s="2" t="s">
        <v>3092</v>
      </c>
      <c r="I114" s="1" t="s">
        <v>14</v>
      </c>
      <c r="J114" s="1" t="s">
        <v>3224</v>
      </c>
      <c r="K114" s="17"/>
      <c r="L114" s="54"/>
      <c r="M114" s="39"/>
      <c r="N114" s="39"/>
      <c r="O114" s="39"/>
      <c r="P114" s="39"/>
      <c r="Q114" s="39"/>
      <c r="R114" s="39"/>
      <c r="S114" s="39"/>
      <c r="T114" s="39"/>
      <c r="U114" s="39"/>
      <c r="V114" s="39"/>
      <c r="W114" s="60" t="s">
        <v>1735</v>
      </c>
    </row>
    <row r="115" spans="1:23" s="79" customFormat="1" ht="25.5" x14ac:dyDescent="0.2">
      <c r="A115" s="1" t="s">
        <v>125</v>
      </c>
      <c r="B115" s="2" t="s">
        <v>10</v>
      </c>
      <c r="C115" s="2" t="s">
        <v>126</v>
      </c>
      <c r="D115" s="2" t="s">
        <v>124</v>
      </c>
      <c r="E115" s="2">
        <v>2022</v>
      </c>
      <c r="F115" s="2" t="s">
        <v>1798</v>
      </c>
      <c r="G115" s="2" t="s">
        <v>3095</v>
      </c>
      <c r="H115" s="2" t="s">
        <v>3092</v>
      </c>
      <c r="I115" s="1" t="s">
        <v>14</v>
      </c>
      <c r="J115" s="1" t="s">
        <v>3225</v>
      </c>
      <c r="K115" s="17"/>
      <c r="L115" s="54"/>
      <c r="M115" s="39"/>
      <c r="N115" s="39"/>
      <c r="O115" s="39"/>
      <c r="P115" s="39"/>
      <c r="Q115" s="39"/>
      <c r="R115" s="39"/>
      <c r="S115" s="39"/>
      <c r="T115" s="39"/>
      <c r="U115" s="39"/>
      <c r="V115" s="39"/>
      <c r="W115" s="60" t="s">
        <v>1735</v>
      </c>
    </row>
    <row r="116" spans="1:23" s="79" customFormat="1" ht="102" x14ac:dyDescent="0.2">
      <c r="A116" s="1" t="s">
        <v>426</v>
      </c>
      <c r="B116" s="2" t="s">
        <v>196</v>
      </c>
      <c r="C116" s="2" t="s">
        <v>427</v>
      </c>
      <c r="D116" s="2" t="s">
        <v>192</v>
      </c>
      <c r="E116" s="2">
        <v>2022</v>
      </c>
      <c r="F116" s="2" t="s">
        <v>1794</v>
      </c>
      <c r="G116" s="2" t="s">
        <v>3093</v>
      </c>
      <c r="H116" s="2" t="s">
        <v>3092</v>
      </c>
      <c r="I116" s="1" t="s">
        <v>14</v>
      </c>
      <c r="J116" s="1" t="s">
        <v>3226</v>
      </c>
      <c r="K116" s="17"/>
      <c r="L116" s="54" t="s">
        <v>1670</v>
      </c>
      <c r="M116" s="39"/>
      <c r="N116" s="39"/>
      <c r="O116" s="39">
        <v>780</v>
      </c>
      <c r="P116" s="39"/>
      <c r="Q116" s="39"/>
      <c r="R116" s="39"/>
      <c r="S116" s="39"/>
      <c r="T116" s="39"/>
      <c r="U116" s="39"/>
      <c r="V116" s="39"/>
      <c r="W116" s="60"/>
    </row>
    <row r="117" spans="1:23" s="79" customFormat="1" ht="25.5" x14ac:dyDescent="0.2">
      <c r="A117" s="1" t="s">
        <v>165</v>
      </c>
      <c r="B117" s="2" t="s">
        <v>38</v>
      </c>
      <c r="C117" s="2" t="s">
        <v>166</v>
      </c>
      <c r="D117" s="2" t="s">
        <v>3227</v>
      </c>
      <c r="E117" s="2">
        <v>2022</v>
      </c>
      <c r="F117" s="2" t="s">
        <v>1776</v>
      </c>
      <c r="G117" s="2" t="s">
        <v>3095</v>
      </c>
      <c r="H117" s="2" t="s">
        <v>3092</v>
      </c>
      <c r="I117" s="1" t="s">
        <v>14</v>
      </c>
      <c r="J117" s="1" t="s">
        <v>3228</v>
      </c>
      <c r="K117" s="17"/>
      <c r="L117" s="54">
        <v>0.23699999999999999</v>
      </c>
      <c r="M117" s="39"/>
      <c r="N117" s="39"/>
      <c r="O117" s="39"/>
      <c r="P117" s="39"/>
      <c r="Q117" s="39"/>
      <c r="R117" s="39">
        <f>12.2*0.8</f>
        <v>9.76</v>
      </c>
      <c r="S117" s="39"/>
      <c r="T117" s="39"/>
      <c r="U117" s="39"/>
      <c r="V117" s="39"/>
      <c r="W117" s="60" t="s">
        <v>1680</v>
      </c>
    </row>
    <row r="118" spans="1:23" s="79" customFormat="1" ht="25.5" x14ac:dyDescent="0.2">
      <c r="A118" s="1" t="s">
        <v>165</v>
      </c>
      <c r="B118" s="2" t="s">
        <v>38</v>
      </c>
      <c r="C118" s="2" t="s">
        <v>166</v>
      </c>
      <c r="D118" s="2" t="s">
        <v>3227</v>
      </c>
      <c r="E118" s="2">
        <v>2022</v>
      </c>
      <c r="F118" s="2" t="s">
        <v>1781</v>
      </c>
      <c r="G118" s="2" t="s">
        <v>3095</v>
      </c>
      <c r="H118" s="2" t="s">
        <v>3092</v>
      </c>
      <c r="I118" s="1" t="s">
        <v>14</v>
      </c>
      <c r="J118" s="1" t="s">
        <v>3229</v>
      </c>
      <c r="K118" s="17"/>
      <c r="L118" s="54">
        <v>0.184</v>
      </c>
      <c r="M118" s="39"/>
      <c r="N118" s="39"/>
      <c r="O118" s="39"/>
      <c r="P118" s="39"/>
      <c r="Q118" s="39"/>
      <c r="R118" s="39">
        <f>9.7*0.8</f>
        <v>7.76</v>
      </c>
      <c r="S118" s="39"/>
      <c r="T118" s="39"/>
      <c r="U118" s="39"/>
      <c r="V118" s="39"/>
      <c r="W118" s="60" t="s">
        <v>1680</v>
      </c>
    </row>
    <row r="119" spans="1:23" s="79" customFormat="1" ht="25.5" x14ac:dyDescent="0.2">
      <c r="A119" s="1" t="s">
        <v>207</v>
      </c>
      <c r="B119" s="2" t="s">
        <v>48</v>
      </c>
      <c r="C119" s="2" t="s">
        <v>208</v>
      </c>
      <c r="D119" s="2" t="s">
        <v>40</v>
      </c>
      <c r="E119" s="2">
        <v>2022</v>
      </c>
      <c r="F119" s="2" t="s">
        <v>1783</v>
      </c>
      <c r="G119" s="2" t="s">
        <v>3095</v>
      </c>
      <c r="H119" s="2" t="s">
        <v>3092</v>
      </c>
      <c r="I119" s="1" t="s">
        <v>14</v>
      </c>
      <c r="J119" s="1" t="s">
        <v>3230</v>
      </c>
      <c r="K119" s="17"/>
      <c r="L119" s="80"/>
      <c r="M119" s="15"/>
      <c r="N119" s="15"/>
      <c r="O119" s="15"/>
      <c r="P119" s="15"/>
      <c r="Q119" s="15"/>
      <c r="R119" s="15"/>
      <c r="S119" s="15"/>
      <c r="T119" s="15"/>
      <c r="U119" s="15"/>
      <c r="V119" s="15"/>
      <c r="W119" s="60" t="s">
        <v>3231</v>
      </c>
    </row>
    <row r="120" spans="1:23" s="79" customFormat="1" ht="25.5" x14ac:dyDescent="0.2">
      <c r="A120" s="1" t="s">
        <v>207</v>
      </c>
      <c r="B120" s="2" t="s">
        <v>48</v>
      </c>
      <c r="C120" s="2" t="s">
        <v>208</v>
      </c>
      <c r="D120" s="2" t="s">
        <v>40</v>
      </c>
      <c r="E120" s="2">
        <v>2022</v>
      </c>
      <c r="F120" s="2" t="s">
        <v>1791</v>
      </c>
      <c r="G120" s="2" t="s">
        <v>3095</v>
      </c>
      <c r="H120" s="2" t="s">
        <v>3092</v>
      </c>
      <c r="I120" s="1" t="s">
        <v>14</v>
      </c>
      <c r="J120" s="1" t="s">
        <v>3232</v>
      </c>
      <c r="K120" s="17"/>
      <c r="L120" s="54">
        <v>0.18</v>
      </c>
      <c r="M120" s="39"/>
      <c r="N120" s="39"/>
      <c r="O120" s="39"/>
      <c r="P120" s="39"/>
      <c r="Q120" s="39"/>
      <c r="R120" s="39"/>
      <c r="S120" s="39">
        <f>11.84/L120</f>
        <v>65.777777777777786</v>
      </c>
      <c r="T120" s="39"/>
      <c r="U120" s="39"/>
      <c r="V120" s="39"/>
      <c r="W120" s="60"/>
    </row>
    <row r="121" spans="1:23" s="79" customFormat="1" ht="38.25" x14ac:dyDescent="0.2">
      <c r="A121" s="1" t="s">
        <v>207</v>
      </c>
      <c r="B121" s="2" t="s">
        <v>48</v>
      </c>
      <c r="C121" s="2" t="s">
        <v>208</v>
      </c>
      <c r="D121" s="2" t="s">
        <v>40</v>
      </c>
      <c r="E121" s="2">
        <v>2022</v>
      </c>
      <c r="F121" s="2" t="s">
        <v>1796</v>
      </c>
      <c r="G121" s="2" t="s">
        <v>3095</v>
      </c>
      <c r="H121" s="2" t="s">
        <v>3092</v>
      </c>
      <c r="I121" s="1" t="s">
        <v>14</v>
      </c>
      <c r="J121" s="1" t="s">
        <v>3233</v>
      </c>
      <c r="K121" s="17"/>
      <c r="L121" s="54">
        <v>0.22</v>
      </c>
      <c r="M121" s="39"/>
      <c r="N121" s="39"/>
      <c r="O121" s="39"/>
      <c r="P121" s="39"/>
      <c r="Q121" s="39"/>
      <c r="R121" s="39"/>
      <c r="S121" s="39">
        <f>9.57/L121</f>
        <v>43.5</v>
      </c>
      <c r="T121" s="39"/>
      <c r="U121" s="39"/>
      <c r="V121" s="39"/>
      <c r="W121" s="60"/>
    </row>
    <row r="122" spans="1:23" s="79" customFormat="1" ht="25.5" x14ac:dyDescent="0.2">
      <c r="A122" s="1" t="s">
        <v>207</v>
      </c>
      <c r="B122" s="2" t="s">
        <v>48</v>
      </c>
      <c r="C122" s="2" t="s">
        <v>208</v>
      </c>
      <c r="D122" s="2" t="s">
        <v>40</v>
      </c>
      <c r="E122" s="2">
        <v>2022</v>
      </c>
      <c r="F122" s="2" t="s">
        <v>1798</v>
      </c>
      <c r="G122" s="2" t="s">
        <v>3095</v>
      </c>
      <c r="H122" s="2" t="s">
        <v>3092</v>
      </c>
      <c r="I122" s="1" t="s">
        <v>14</v>
      </c>
      <c r="J122" s="1" t="s">
        <v>3234</v>
      </c>
      <c r="K122" s="17"/>
      <c r="L122" s="54">
        <v>0.23</v>
      </c>
      <c r="M122" s="39"/>
      <c r="N122" s="39"/>
      <c r="O122" s="39"/>
      <c r="P122" s="39"/>
      <c r="Q122" s="39"/>
      <c r="R122" s="39"/>
      <c r="S122" s="39">
        <v>51.9</v>
      </c>
      <c r="T122" s="39"/>
      <c r="U122" s="39"/>
      <c r="V122" s="39"/>
      <c r="W122" s="60"/>
    </row>
    <row r="123" spans="1:23" s="79" customFormat="1" ht="25.5" x14ac:dyDescent="0.2">
      <c r="A123" s="1" t="s">
        <v>3235</v>
      </c>
      <c r="B123" s="2" t="s">
        <v>196</v>
      </c>
      <c r="C123" s="2" t="s">
        <v>3236</v>
      </c>
      <c r="D123" s="2" t="s">
        <v>67</v>
      </c>
      <c r="E123" s="2">
        <v>2022</v>
      </c>
      <c r="F123" s="2" t="s">
        <v>1785</v>
      </c>
      <c r="G123" s="2" t="s">
        <v>3092</v>
      </c>
      <c r="H123" s="2" t="s">
        <v>3092</v>
      </c>
      <c r="I123" s="1" t="s">
        <v>3237</v>
      </c>
      <c r="J123" s="1" t="s">
        <v>3237</v>
      </c>
      <c r="K123" s="17"/>
      <c r="L123" s="54"/>
      <c r="M123" s="39"/>
      <c r="N123" s="39"/>
      <c r="O123" s="39"/>
      <c r="P123" s="39"/>
      <c r="Q123" s="39"/>
      <c r="R123" s="39"/>
      <c r="S123" s="39"/>
      <c r="T123" s="39"/>
      <c r="U123" s="39"/>
      <c r="V123" s="39"/>
      <c r="W123" s="60"/>
    </row>
    <row r="124" spans="1:23" s="79" customFormat="1" ht="25.5" x14ac:dyDescent="0.2">
      <c r="A124" s="1" t="s">
        <v>127</v>
      </c>
      <c r="B124" s="2" t="s">
        <v>16</v>
      </c>
      <c r="C124" s="2" t="s">
        <v>128</v>
      </c>
      <c r="D124" s="2" t="s">
        <v>129</v>
      </c>
      <c r="E124" s="2">
        <v>2022</v>
      </c>
      <c r="F124" s="2" t="s">
        <v>1776</v>
      </c>
      <c r="G124" s="2" t="s">
        <v>3095</v>
      </c>
      <c r="H124" s="2" t="s">
        <v>3092</v>
      </c>
      <c r="I124" s="1" t="s">
        <v>14</v>
      </c>
      <c r="J124" s="1" t="s">
        <v>3238</v>
      </c>
      <c r="K124" s="17"/>
      <c r="L124" s="54">
        <v>0.32</v>
      </c>
      <c r="M124" s="39"/>
      <c r="N124" s="39"/>
      <c r="O124" s="39">
        <v>115.8</v>
      </c>
      <c r="P124" s="39"/>
      <c r="Q124" s="39"/>
      <c r="R124" s="39"/>
      <c r="S124" s="39"/>
      <c r="T124" s="39"/>
      <c r="U124" s="39"/>
      <c r="V124" s="39"/>
      <c r="W124" s="60"/>
    </row>
    <row r="125" spans="1:23" s="79" customFormat="1" ht="25.5" x14ac:dyDescent="0.2">
      <c r="A125" s="1" t="s">
        <v>127</v>
      </c>
      <c r="B125" s="2" t="s">
        <v>16</v>
      </c>
      <c r="C125" s="2" t="s">
        <v>128</v>
      </c>
      <c r="D125" s="2" t="s">
        <v>129</v>
      </c>
      <c r="E125" s="2">
        <v>2022</v>
      </c>
      <c r="F125" s="2" t="s">
        <v>1779</v>
      </c>
      <c r="G125" s="2" t="s">
        <v>3095</v>
      </c>
      <c r="H125" s="2" t="s">
        <v>3092</v>
      </c>
      <c r="I125" s="1" t="s">
        <v>14</v>
      </c>
      <c r="J125" s="1" t="s">
        <v>3239</v>
      </c>
      <c r="K125" s="17"/>
      <c r="L125" s="54">
        <v>0.34</v>
      </c>
      <c r="M125" s="39"/>
      <c r="N125" s="39"/>
      <c r="O125" s="39">
        <v>113.6</v>
      </c>
      <c r="P125" s="39"/>
      <c r="Q125" s="39"/>
      <c r="R125" s="39"/>
      <c r="S125" s="39"/>
      <c r="T125" s="39"/>
      <c r="U125" s="39"/>
      <c r="V125" s="39"/>
      <c r="W125" s="60"/>
    </row>
    <row r="126" spans="1:23" s="79" customFormat="1" ht="25.5" x14ac:dyDescent="0.2">
      <c r="A126" s="1" t="s">
        <v>127</v>
      </c>
      <c r="B126" s="2" t="s">
        <v>16</v>
      </c>
      <c r="C126" s="2" t="s">
        <v>128</v>
      </c>
      <c r="D126" s="2" t="s">
        <v>129</v>
      </c>
      <c r="E126" s="2">
        <v>2022</v>
      </c>
      <c r="F126" s="2" t="s">
        <v>1781</v>
      </c>
      <c r="G126" s="2" t="s">
        <v>3095</v>
      </c>
      <c r="H126" s="2" t="s">
        <v>3092</v>
      </c>
      <c r="I126" s="1" t="s">
        <v>14</v>
      </c>
      <c r="J126" s="1" t="s">
        <v>3240</v>
      </c>
      <c r="K126" s="17"/>
      <c r="L126" s="54">
        <v>0.33600000000000002</v>
      </c>
      <c r="M126" s="39"/>
      <c r="N126" s="39"/>
      <c r="O126" s="39">
        <v>138.1</v>
      </c>
      <c r="P126" s="39"/>
      <c r="Q126" s="39"/>
      <c r="R126" s="39"/>
      <c r="S126" s="39"/>
      <c r="T126" s="39"/>
      <c r="U126" s="39"/>
      <c r="V126" s="39"/>
      <c r="W126" s="60"/>
    </row>
    <row r="127" spans="1:23" s="79" customFormat="1" ht="38.25" x14ac:dyDescent="0.2">
      <c r="A127" s="1" t="s">
        <v>127</v>
      </c>
      <c r="B127" s="2" t="s">
        <v>16</v>
      </c>
      <c r="C127" s="2" t="s">
        <v>128</v>
      </c>
      <c r="D127" s="2" t="s">
        <v>129</v>
      </c>
      <c r="E127" s="2">
        <v>2022</v>
      </c>
      <c r="F127" s="2" t="s">
        <v>1783</v>
      </c>
      <c r="G127" s="2" t="s">
        <v>3095</v>
      </c>
      <c r="H127" s="2" t="s">
        <v>3092</v>
      </c>
      <c r="I127" s="1" t="s">
        <v>14</v>
      </c>
      <c r="J127" s="1" t="s">
        <v>3241</v>
      </c>
      <c r="K127" s="17"/>
      <c r="L127" s="54">
        <v>0.36699999999999999</v>
      </c>
      <c r="M127" s="39"/>
      <c r="N127" s="39"/>
      <c r="O127" s="39">
        <v>94.8</v>
      </c>
      <c r="P127" s="39"/>
      <c r="Q127" s="39"/>
      <c r="R127" s="39"/>
      <c r="S127" s="39"/>
      <c r="T127" s="39"/>
      <c r="U127" s="39"/>
      <c r="V127" s="39"/>
      <c r="W127" s="60"/>
    </row>
    <row r="128" spans="1:23" s="79" customFormat="1" ht="25.5" x14ac:dyDescent="0.2">
      <c r="A128" s="1" t="s">
        <v>127</v>
      </c>
      <c r="B128" s="2" t="s">
        <v>16</v>
      </c>
      <c r="C128" s="2" t="s">
        <v>128</v>
      </c>
      <c r="D128" s="2" t="s">
        <v>129</v>
      </c>
      <c r="E128" s="2">
        <v>2022</v>
      </c>
      <c r="F128" s="2" t="s">
        <v>1785</v>
      </c>
      <c r="G128" s="2" t="s">
        <v>3095</v>
      </c>
      <c r="H128" s="2" t="s">
        <v>3092</v>
      </c>
      <c r="I128" s="1" t="s">
        <v>14</v>
      </c>
      <c r="J128" s="1" t="s">
        <v>3242</v>
      </c>
      <c r="K128" s="17"/>
      <c r="L128" s="54">
        <v>0.309</v>
      </c>
      <c r="M128" s="39"/>
      <c r="N128" s="39"/>
      <c r="O128" s="39">
        <v>97.7</v>
      </c>
      <c r="P128" s="39"/>
      <c r="Q128" s="39"/>
      <c r="R128" s="39"/>
      <c r="S128" s="39"/>
      <c r="T128" s="39"/>
      <c r="U128" s="39"/>
      <c r="V128" s="39"/>
      <c r="W128" s="60"/>
    </row>
    <row r="129" spans="1:23" s="79" customFormat="1" ht="25.5" x14ac:dyDescent="0.2">
      <c r="A129" s="1" t="s">
        <v>127</v>
      </c>
      <c r="B129" s="2" t="s">
        <v>16</v>
      </c>
      <c r="C129" s="2" t="s">
        <v>128</v>
      </c>
      <c r="D129" s="2" t="s">
        <v>129</v>
      </c>
      <c r="E129" s="2">
        <v>2022</v>
      </c>
      <c r="F129" s="2" t="s">
        <v>1787</v>
      </c>
      <c r="G129" s="2" t="s">
        <v>3095</v>
      </c>
      <c r="H129" s="2" t="s">
        <v>3092</v>
      </c>
      <c r="I129" s="1" t="s">
        <v>14</v>
      </c>
      <c r="J129" s="1" t="s">
        <v>3243</v>
      </c>
      <c r="K129" s="17"/>
      <c r="L129" s="54">
        <v>0.28129999999999999</v>
      </c>
      <c r="M129" s="39"/>
      <c r="N129" s="39"/>
      <c r="O129" s="3">
        <v>120.9</v>
      </c>
      <c r="P129" s="39"/>
      <c r="Q129" s="39"/>
      <c r="R129" s="39"/>
      <c r="S129" s="39"/>
      <c r="T129" s="39"/>
      <c r="U129" s="39"/>
      <c r="V129" s="39"/>
      <c r="W129" s="60"/>
    </row>
    <row r="130" spans="1:23" s="79" customFormat="1" ht="25.5" x14ac:dyDescent="0.2">
      <c r="A130" s="1" t="s">
        <v>127</v>
      </c>
      <c r="B130" s="2" t="s">
        <v>16</v>
      </c>
      <c r="C130" s="2" t="s">
        <v>128</v>
      </c>
      <c r="D130" s="2" t="s">
        <v>129</v>
      </c>
      <c r="E130" s="2">
        <v>2022</v>
      </c>
      <c r="F130" s="2" t="s">
        <v>1789</v>
      </c>
      <c r="G130" s="2" t="s">
        <v>3095</v>
      </c>
      <c r="H130" s="2" t="s">
        <v>3092</v>
      </c>
      <c r="I130" s="1" t="s">
        <v>14</v>
      </c>
      <c r="J130" s="1" t="s">
        <v>3244</v>
      </c>
      <c r="K130" s="17"/>
      <c r="L130" s="54">
        <v>0.30099999999999999</v>
      </c>
      <c r="M130" s="39"/>
      <c r="N130" s="39"/>
      <c r="O130" s="39">
        <v>102.6</v>
      </c>
      <c r="P130" s="39"/>
      <c r="Q130" s="39"/>
      <c r="R130" s="39"/>
      <c r="S130" s="39"/>
      <c r="T130" s="39"/>
      <c r="U130" s="39"/>
      <c r="V130" s="39"/>
      <c r="W130" s="60"/>
    </row>
    <row r="131" spans="1:23" s="79" customFormat="1" ht="38.25" x14ac:dyDescent="0.2">
      <c r="A131" s="1" t="s">
        <v>127</v>
      </c>
      <c r="B131" s="2" t="s">
        <v>16</v>
      </c>
      <c r="C131" s="2" t="s">
        <v>128</v>
      </c>
      <c r="D131" s="2" t="s">
        <v>129</v>
      </c>
      <c r="E131" s="2">
        <v>2022</v>
      </c>
      <c r="F131" s="2" t="s">
        <v>1791</v>
      </c>
      <c r="G131" s="2" t="s">
        <v>3095</v>
      </c>
      <c r="H131" s="2" t="s">
        <v>3092</v>
      </c>
      <c r="I131" s="1" t="s">
        <v>14</v>
      </c>
      <c r="J131" s="1" t="s">
        <v>3245</v>
      </c>
      <c r="K131" s="17"/>
      <c r="L131" s="54">
        <v>0.30399999999999999</v>
      </c>
      <c r="M131" s="39"/>
      <c r="N131" s="39"/>
      <c r="O131" s="39">
        <v>122.9</v>
      </c>
      <c r="P131" s="39"/>
      <c r="Q131" s="39"/>
      <c r="R131" s="39"/>
      <c r="S131" s="39"/>
      <c r="T131" s="39"/>
      <c r="U131" s="39"/>
      <c r="V131" s="39"/>
      <c r="W131" s="60"/>
    </row>
    <row r="132" spans="1:23" s="79" customFormat="1" ht="38.25" x14ac:dyDescent="0.2">
      <c r="A132" s="1" t="s">
        <v>127</v>
      </c>
      <c r="B132" s="2" t="s">
        <v>16</v>
      </c>
      <c r="C132" s="2" t="s">
        <v>128</v>
      </c>
      <c r="D132" s="2" t="s">
        <v>129</v>
      </c>
      <c r="E132" s="2">
        <v>2022</v>
      </c>
      <c r="F132" s="2" t="s">
        <v>311</v>
      </c>
      <c r="G132" s="2" t="s">
        <v>3095</v>
      </c>
      <c r="H132" s="2" t="s">
        <v>3092</v>
      </c>
      <c r="I132" s="1" t="s">
        <v>14</v>
      </c>
      <c r="J132" s="1" t="s">
        <v>3246</v>
      </c>
      <c r="K132" s="17"/>
      <c r="L132" s="54">
        <v>0.29799999999999999</v>
      </c>
      <c r="M132" s="39"/>
      <c r="N132" s="39"/>
      <c r="O132" s="39">
        <v>103</v>
      </c>
      <c r="P132" s="39"/>
      <c r="Q132" s="39"/>
      <c r="R132" s="39"/>
      <c r="S132" s="39"/>
      <c r="T132" s="39"/>
      <c r="U132" s="39"/>
      <c r="V132" s="39"/>
      <c r="W132" s="60"/>
    </row>
    <row r="133" spans="1:23" s="79" customFormat="1" ht="25.5" x14ac:dyDescent="0.2">
      <c r="A133" s="1" t="s">
        <v>127</v>
      </c>
      <c r="B133" s="2" t="s">
        <v>16</v>
      </c>
      <c r="C133" s="2" t="s">
        <v>128</v>
      </c>
      <c r="D133" s="2" t="s">
        <v>129</v>
      </c>
      <c r="E133" s="2">
        <v>2022</v>
      </c>
      <c r="F133" s="2" t="s">
        <v>1794</v>
      </c>
      <c r="G133" s="2" t="s">
        <v>3095</v>
      </c>
      <c r="H133" s="2" t="s">
        <v>3092</v>
      </c>
      <c r="I133" s="1" t="s">
        <v>14</v>
      </c>
      <c r="J133" s="1" t="s">
        <v>3247</v>
      </c>
      <c r="K133" s="17"/>
      <c r="L133" s="54">
        <v>0.28799999999999998</v>
      </c>
      <c r="M133" s="39"/>
      <c r="N133" s="39"/>
      <c r="O133" s="39">
        <v>96.8</v>
      </c>
      <c r="P133" s="39"/>
      <c r="Q133" s="39"/>
      <c r="R133" s="39"/>
      <c r="S133" s="39"/>
      <c r="T133" s="39"/>
      <c r="U133" s="39"/>
      <c r="V133" s="39"/>
      <c r="W133" s="60"/>
    </row>
    <row r="134" spans="1:23" s="79" customFormat="1" ht="38.25" x14ac:dyDescent="0.2">
      <c r="A134" s="1" t="s">
        <v>127</v>
      </c>
      <c r="B134" s="2" t="s">
        <v>16</v>
      </c>
      <c r="C134" s="2" t="s">
        <v>128</v>
      </c>
      <c r="D134" s="2" t="s">
        <v>129</v>
      </c>
      <c r="E134" s="2">
        <v>2022</v>
      </c>
      <c r="F134" s="2" t="s">
        <v>1796</v>
      </c>
      <c r="G134" s="2" t="s">
        <v>3095</v>
      </c>
      <c r="H134" s="2" t="s">
        <v>3092</v>
      </c>
      <c r="I134" s="1" t="s">
        <v>14</v>
      </c>
      <c r="J134" s="1" t="s">
        <v>3248</v>
      </c>
      <c r="K134" s="17"/>
      <c r="L134" s="54">
        <v>0.27600000000000002</v>
      </c>
      <c r="M134" s="39"/>
      <c r="N134" s="39"/>
      <c r="O134" s="39">
        <v>121.2</v>
      </c>
      <c r="P134" s="39"/>
      <c r="Q134" s="39"/>
      <c r="R134" s="39"/>
      <c r="S134" s="39"/>
      <c r="T134" s="39"/>
      <c r="U134" s="39"/>
      <c r="V134" s="39"/>
      <c r="W134" s="60"/>
    </row>
    <row r="135" spans="1:23" s="79" customFormat="1" ht="25.5" x14ac:dyDescent="0.2">
      <c r="A135" s="1" t="s">
        <v>127</v>
      </c>
      <c r="B135" s="2" t="s">
        <v>16</v>
      </c>
      <c r="C135" s="2" t="s">
        <v>128</v>
      </c>
      <c r="D135" s="2" t="s">
        <v>129</v>
      </c>
      <c r="E135" s="2">
        <v>2022</v>
      </c>
      <c r="F135" s="2" t="s">
        <v>1798</v>
      </c>
      <c r="G135" s="2" t="s">
        <v>3095</v>
      </c>
      <c r="H135" s="2" t="s">
        <v>3092</v>
      </c>
      <c r="I135" s="1" t="s">
        <v>14</v>
      </c>
      <c r="J135" s="1" t="s">
        <v>3249</v>
      </c>
      <c r="K135" s="17"/>
      <c r="L135" s="54">
        <v>0.32200000000000001</v>
      </c>
      <c r="M135" s="15"/>
      <c r="N135" s="15"/>
      <c r="O135" s="15">
        <v>81.900000000000006</v>
      </c>
      <c r="P135" s="15"/>
      <c r="Q135" s="15"/>
      <c r="R135" s="15"/>
      <c r="S135" s="15"/>
      <c r="T135" s="15"/>
      <c r="U135" s="15"/>
      <c r="V135" s="15"/>
      <c r="W135" s="60"/>
    </row>
    <row r="136" spans="1:23" s="79" customFormat="1" ht="38.25" x14ac:dyDescent="0.2">
      <c r="A136" s="1" t="s">
        <v>3250</v>
      </c>
      <c r="B136" s="2" t="s">
        <v>340</v>
      </c>
      <c r="C136" s="2" t="s">
        <v>2056</v>
      </c>
      <c r="D136" s="2" t="s">
        <v>2056</v>
      </c>
      <c r="E136" s="2">
        <v>2022</v>
      </c>
      <c r="F136" s="2" t="s">
        <v>1789</v>
      </c>
      <c r="G136" s="2" t="s">
        <v>3092</v>
      </c>
      <c r="H136" s="2" t="s">
        <v>3092</v>
      </c>
      <c r="I136" s="1" t="s">
        <v>3251</v>
      </c>
      <c r="J136" s="1" t="s">
        <v>3252</v>
      </c>
      <c r="K136" s="17"/>
      <c r="L136" s="54"/>
      <c r="M136" s="39"/>
      <c r="N136" s="39"/>
      <c r="O136" s="39"/>
      <c r="P136" s="39"/>
      <c r="Q136" s="39"/>
      <c r="R136" s="39"/>
      <c r="S136" s="39"/>
      <c r="T136" s="39"/>
      <c r="U136" s="39"/>
      <c r="V136" s="39"/>
      <c r="W136" s="60"/>
    </row>
    <row r="137" spans="1:23" s="79" customFormat="1" ht="51" x14ac:dyDescent="0.2">
      <c r="A137" s="1" t="s">
        <v>3250</v>
      </c>
      <c r="B137" s="2" t="s">
        <v>340</v>
      </c>
      <c r="C137" s="2" t="s">
        <v>2056</v>
      </c>
      <c r="D137" s="2" t="s">
        <v>2056</v>
      </c>
      <c r="E137" s="2">
        <v>2022</v>
      </c>
      <c r="F137" s="2" t="s">
        <v>1791</v>
      </c>
      <c r="G137" s="2" t="s">
        <v>3092</v>
      </c>
      <c r="H137" s="2" t="s">
        <v>3092</v>
      </c>
      <c r="I137" s="1" t="s">
        <v>3253</v>
      </c>
      <c r="J137" s="1" t="s">
        <v>3254</v>
      </c>
      <c r="K137" s="17"/>
      <c r="L137" s="54">
        <v>0.224</v>
      </c>
      <c r="M137" s="39"/>
      <c r="N137" s="39"/>
      <c r="O137" s="39">
        <v>931</v>
      </c>
      <c r="P137" s="39"/>
      <c r="Q137" s="39"/>
      <c r="R137" s="39"/>
      <c r="S137" s="39">
        <v>13</v>
      </c>
      <c r="T137" s="39"/>
      <c r="U137" s="39"/>
      <c r="V137" s="39"/>
      <c r="W137" s="60"/>
    </row>
    <row r="138" spans="1:23" s="79" customFormat="1" ht="63.75" x14ac:dyDescent="0.2">
      <c r="A138" s="1" t="s">
        <v>139</v>
      </c>
      <c r="B138" s="2" t="s">
        <v>24</v>
      </c>
      <c r="C138" s="2" t="s">
        <v>140</v>
      </c>
      <c r="D138" s="2" t="s">
        <v>141</v>
      </c>
      <c r="E138" s="2">
        <v>2022</v>
      </c>
      <c r="F138" s="2" t="s">
        <v>1776</v>
      </c>
      <c r="G138" s="2" t="s">
        <v>3095</v>
      </c>
      <c r="H138" s="2" t="s">
        <v>3092</v>
      </c>
      <c r="I138" s="1" t="s">
        <v>14</v>
      </c>
      <c r="J138" s="1" t="s">
        <v>3255</v>
      </c>
      <c r="K138" s="17"/>
      <c r="L138" s="54">
        <v>0.28100000000000003</v>
      </c>
      <c r="M138" s="39"/>
      <c r="N138" s="39"/>
      <c r="O138" s="39"/>
      <c r="P138" s="39"/>
      <c r="Q138" s="39"/>
      <c r="R138" s="39"/>
      <c r="S138" s="39">
        <v>334.2</v>
      </c>
      <c r="T138" s="39"/>
      <c r="U138" s="39"/>
      <c r="V138" s="39"/>
      <c r="W138" s="60"/>
    </row>
    <row r="139" spans="1:23" s="79" customFormat="1" ht="51" x14ac:dyDescent="0.2">
      <c r="A139" s="1" t="s">
        <v>139</v>
      </c>
      <c r="B139" s="2" t="s">
        <v>24</v>
      </c>
      <c r="C139" s="2" t="s">
        <v>140</v>
      </c>
      <c r="D139" s="2" t="s">
        <v>141</v>
      </c>
      <c r="E139" s="2">
        <v>2022</v>
      </c>
      <c r="F139" s="2" t="s">
        <v>1779</v>
      </c>
      <c r="G139" s="2" t="s">
        <v>3095</v>
      </c>
      <c r="H139" s="2" t="s">
        <v>3092</v>
      </c>
      <c r="I139" s="1" t="s">
        <v>14</v>
      </c>
      <c r="J139" s="1" t="s">
        <v>3256</v>
      </c>
      <c r="K139" s="17"/>
      <c r="L139" s="54">
        <v>0.28899999999999998</v>
      </c>
      <c r="M139" s="39"/>
      <c r="N139" s="39"/>
      <c r="O139" s="39"/>
      <c r="P139" s="39"/>
      <c r="Q139" s="39"/>
      <c r="R139" s="39"/>
      <c r="S139" s="39">
        <v>308.3</v>
      </c>
      <c r="T139" s="39"/>
      <c r="U139" s="39"/>
      <c r="V139" s="39"/>
      <c r="W139" s="60"/>
    </row>
    <row r="140" spans="1:23" s="79" customFormat="1" ht="51" x14ac:dyDescent="0.2">
      <c r="A140" s="1" t="s">
        <v>139</v>
      </c>
      <c r="B140" s="2" t="s">
        <v>24</v>
      </c>
      <c r="C140" s="2" t="s">
        <v>140</v>
      </c>
      <c r="D140" s="2" t="s">
        <v>141</v>
      </c>
      <c r="E140" s="2">
        <v>2022</v>
      </c>
      <c r="F140" s="2" t="s">
        <v>1781</v>
      </c>
      <c r="G140" s="2" t="s">
        <v>3095</v>
      </c>
      <c r="H140" s="2" t="s">
        <v>3092</v>
      </c>
      <c r="I140" s="1" t="s">
        <v>14</v>
      </c>
      <c r="J140" s="1" t="s">
        <v>3257</v>
      </c>
      <c r="K140" s="17"/>
      <c r="L140" s="54">
        <v>0.26800000000000002</v>
      </c>
      <c r="M140" s="39"/>
      <c r="N140" s="39"/>
      <c r="O140" s="39"/>
      <c r="P140" s="39"/>
      <c r="Q140" s="39"/>
      <c r="R140" s="39"/>
      <c r="S140" s="39">
        <v>357.3</v>
      </c>
      <c r="T140" s="39"/>
      <c r="U140" s="39"/>
      <c r="V140" s="39"/>
      <c r="W140" s="60"/>
    </row>
    <row r="141" spans="1:23" s="79" customFormat="1" ht="51" x14ac:dyDescent="0.2">
      <c r="A141" s="1" t="s">
        <v>139</v>
      </c>
      <c r="B141" s="2" t="s">
        <v>24</v>
      </c>
      <c r="C141" s="2" t="s">
        <v>140</v>
      </c>
      <c r="D141" s="2" t="s">
        <v>141</v>
      </c>
      <c r="E141" s="2">
        <v>2022</v>
      </c>
      <c r="F141" s="2" t="s">
        <v>1783</v>
      </c>
      <c r="G141" s="2" t="s">
        <v>3095</v>
      </c>
      <c r="H141" s="2" t="s">
        <v>3092</v>
      </c>
      <c r="I141" s="1" t="s">
        <v>14</v>
      </c>
      <c r="J141" s="1" t="s">
        <v>3258</v>
      </c>
      <c r="K141" s="17"/>
      <c r="L141" s="54">
        <v>0.251</v>
      </c>
      <c r="M141" s="39"/>
      <c r="N141" s="39"/>
      <c r="O141" s="39"/>
      <c r="P141" s="39"/>
      <c r="Q141" s="39"/>
      <c r="R141" s="39"/>
      <c r="S141" s="39">
        <v>231.9</v>
      </c>
      <c r="T141" s="39"/>
      <c r="U141" s="39"/>
      <c r="V141" s="39"/>
      <c r="W141" s="60"/>
    </row>
    <row r="142" spans="1:23" s="79" customFormat="1" ht="51" x14ac:dyDescent="0.2">
      <c r="A142" s="1" t="s">
        <v>139</v>
      </c>
      <c r="B142" s="2" t="s">
        <v>24</v>
      </c>
      <c r="C142" s="2" t="s">
        <v>140</v>
      </c>
      <c r="D142" s="2" t="s">
        <v>141</v>
      </c>
      <c r="E142" s="2">
        <v>2022</v>
      </c>
      <c r="F142" s="2" t="s">
        <v>1785</v>
      </c>
      <c r="G142" s="2" t="s">
        <v>3095</v>
      </c>
      <c r="H142" s="2" t="s">
        <v>3092</v>
      </c>
      <c r="I142" s="1" t="s">
        <v>14</v>
      </c>
      <c r="J142" s="1" t="s">
        <v>3259</v>
      </c>
      <c r="K142" s="17"/>
      <c r="L142" s="54">
        <v>0.25700000000000001</v>
      </c>
      <c r="M142" s="39"/>
      <c r="N142" s="39"/>
      <c r="O142" s="39"/>
      <c r="P142" s="39"/>
      <c r="Q142" s="39"/>
      <c r="R142" s="39"/>
      <c r="S142" s="39">
        <v>382.1</v>
      </c>
      <c r="T142" s="39"/>
      <c r="U142" s="39"/>
      <c r="V142" s="39"/>
      <c r="W142" s="60"/>
    </row>
    <row r="143" spans="1:23" s="79" customFormat="1" ht="51" x14ac:dyDescent="0.2">
      <c r="A143" s="1" t="s">
        <v>139</v>
      </c>
      <c r="B143" s="2" t="s">
        <v>24</v>
      </c>
      <c r="C143" s="2" t="s">
        <v>140</v>
      </c>
      <c r="D143" s="2" t="s">
        <v>141</v>
      </c>
      <c r="E143" s="2">
        <v>2022</v>
      </c>
      <c r="F143" s="2" t="s">
        <v>1787</v>
      </c>
      <c r="G143" s="2" t="s">
        <v>3095</v>
      </c>
      <c r="H143" s="2" t="s">
        <v>3092</v>
      </c>
      <c r="I143" s="1" t="s">
        <v>14</v>
      </c>
      <c r="J143" s="1" t="s">
        <v>3260</v>
      </c>
      <c r="K143" s="17"/>
      <c r="L143" s="54">
        <v>0.26600000000000001</v>
      </c>
      <c r="M143" s="39"/>
      <c r="N143" s="39"/>
      <c r="O143" s="39"/>
      <c r="P143" s="39"/>
      <c r="Q143" s="39"/>
      <c r="R143" s="39"/>
      <c r="S143" s="39">
        <v>402.7</v>
      </c>
      <c r="T143" s="39"/>
      <c r="U143" s="39"/>
      <c r="V143" s="39"/>
      <c r="W143" s="60"/>
    </row>
    <row r="144" spans="1:23" s="79" customFormat="1" ht="51" x14ac:dyDescent="0.2">
      <c r="A144" s="1" t="s">
        <v>139</v>
      </c>
      <c r="B144" s="2" t="s">
        <v>24</v>
      </c>
      <c r="C144" s="2" t="s">
        <v>140</v>
      </c>
      <c r="D144" s="2" t="s">
        <v>141</v>
      </c>
      <c r="E144" s="2">
        <v>2022</v>
      </c>
      <c r="F144" s="2" t="s">
        <v>1789</v>
      </c>
      <c r="G144" s="2" t="s">
        <v>3095</v>
      </c>
      <c r="H144" s="2" t="s">
        <v>3092</v>
      </c>
      <c r="I144" s="1" t="s">
        <v>14</v>
      </c>
      <c r="J144" s="1" t="s">
        <v>3261</v>
      </c>
      <c r="K144" s="17"/>
      <c r="L144" s="54">
        <v>0.27200000000000002</v>
      </c>
      <c r="M144" s="39"/>
      <c r="N144" s="39"/>
      <c r="O144" s="39"/>
      <c r="P144" s="39"/>
      <c r="Q144" s="39"/>
      <c r="R144" s="39"/>
      <c r="S144" s="39">
        <v>379.2</v>
      </c>
      <c r="T144" s="39"/>
      <c r="U144" s="39"/>
      <c r="V144" s="39"/>
      <c r="W144" s="60"/>
    </row>
    <row r="145" spans="1:23" s="79" customFormat="1" ht="51" x14ac:dyDescent="0.2">
      <c r="A145" s="1" t="s">
        <v>139</v>
      </c>
      <c r="B145" s="2" t="s">
        <v>24</v>
      </c>
      <c r="C145" s="2" t="s">
        <v>140</v>
      </c>
      <c r="D145" s="2" t="s">
        <v>141</v>
      </c>
      <c r="E145" s="2">
        <v>2022</v>
      </c>
      <c r="F145" s="2" t="s">
        <v>1791</v>
      </c>
      <c r="G145" s="2" t="s">
        <v>3095</v>
      </c>
      <c r="H145" s="2" t="s">
        <v>3092</v>
      </c>
      <c r="I145" s="1" t="s">
        <v>14</v>
      </c>
      <c r="J145" s="1" t="s">
        <v>3262</v>
      </c>
      <c r="K145" s="17"/>
      <c r="L145" s="54">
        <v>0.28399999999999997</v>
      </c>
      <c r="M145" s="39"/>
      <c r="N145" s="39"/>
      <c r="O145" s="39"/>
      <c r="P145" s="39"/>
      <c r="Q145" s="39"/>
      <c r="R145" s="39"/>
      <c r="S145" s="39">
        <v>378.9</v>
      </c>
      <c r="T145" s="39"/>
      <c r="U145" s="39"/>
      <c r="V145" s="39"/>
      <c r="W145" s="60"/>
    </row>
    <row r="146" spans="1:23" s="79" customFormat="1" ht="51" x14ac:dyDescent="0.2">
      <c r="A146" s="1" t="s">
        <v>139</v>
      </c>
      <c r="B146" s="2" t="s">
        <v>24</v>
      </c>
      <c r="C146" s="2" t="s">
        <v>140</v>
      </c>
      <c r="D146" s="2" t="s">
        <v>141</v>
      </c>
      <c r="E146" s="2">
        <v>2022</v>
      </c>
      <c r="F146" s="2" t="s">
        <v>311</v>
      </c>
      <c r="G146" s="2" t="s">
        <v>3095</v>
      </c>
      <c r="H146" s="2" t="s">
        <v>3092</v>
      </c>
      <c r="I146" s="1" t="s">
        <v>14</v>
      </c>
      <c r="J146" s="1" t="s">
        <v>3263</v>
      </c>
      <c r="K146" s="17"/>
      <c r="L146" s="54">
        <v>0.255</v>
      </c>
      <c r="M146" s="39"/>
      <c r="N146" s="39"/>
      <c r="O146" s="39"/>
      <c r="P146" s="39"/>
      <c r="Q146" s="39"/>
      <c r="R146" s="39"/>
      <c r="S146" s="39">
        <v>343.4</v>
      </c>
      <c r="T146" s="39"/>
      <c r="U146" s="39"/>
      <c r="V146" s="39"/>
      <c r="W146" s="60"/>
    </row>
    <row r="147" spans="1:23" s="79" customFormat="1" ht="51" x14ac:dyDescent="0.2">
      <c r="A147" s="1" t="s">
        <v>139</v>
      </c>
      <c r="B147" s="2" t="s">
        <v>24</v>
      </c>
      <c r="C147" s="2" t="s">
        <v>140</v>
      </c>
      <c r="D147" s="2" t="s">
        <v>141</v>
      </c>
      <c r="E147" s="2">
        <v>2022</v>
      </c>
      <c r="F147" s="2" t="s">
        <v>1794</v>
      </c>
      <c r="G147" s="2" t="s">
        <v>3095</v>
      </c>
      <c r="H147" s="2" t="s">
        <v>3092</v>
      </c>
      <c r="I147" s="1" t="s">
        <v>14</v>
      </c>
      <c r="J147" s="1" t="s">
        <v>3264</v>
      </c>
      <c r="K147" s="17"/>
      <c r="L147" s="54">
        <v>0.254</v>
      </c>
      <c r="M147" s="39"/>
      <c r="N147" s="39"/>
      <c r="O147" s="39"/>
      <c r="P147" s="39"/>
      <c r="Q147" s="39"/>
      <c r="R147" s="39"/>
      <c r="S147" s="39">
        <v>390.8</v>
      </c>
      <c r="T147" s="39"/>
      <c r="U147" s="39"/>
      <c r="V147" s="39"/>
      <c r="W147" s="60"/>
    </row>
    <row r="148" spans="1:23" s="79" customFormat="1" ht="63.75" x14ac:dyDescent="0.2">
      <c r="A148" s="1" t="s">
        <v>139</v>
      </c>
      <c r="B148" s="2" t="s">
        <v>24</v>
      </c>
      <c r="C148" s="2" t="s">
        <v>140</v>
      </c>
      <c r="D148" s="2" t="s">
        <v>141</v>
      </c>
      <c r="E148" s="2">
        <v>2022</v>
      </c>
      <c r="F148" s="2" t="s">
        <v>1796</v>
      </c>
      <c r="G148" s="2" t="s">
        <v>3095</v>
      </c>
      <c r="H148" s="2" t="s">
        <v>3092</v>
      </c>
      <c r="I148" s="1" t="s">
        <v>14</v>
      </c>
      <c r="J148" s="1" t="s">
        <v>3265</v>
      </c>
      <c r="K148" s="17"/>
      <c r="L148" s="54">
        <v>0.249</v>
      </c>
      <c r="M148" s="39"/>
      <c r="N148" s="39"/>
      <c r="O148" s="39"/>
      <c r="P148" s="39"/>
      <c r="Q148" s="39"/>
      <c r="R148" s="39"/>
      <c r="S148" s="39">
        <v>437.3</v>
      </c>
      <c r="T148" s="39"/>
      <c r="U148" s="39"/>
      <c r="V148" s="39"/>
      <c r="W148" s="60"/>
    </row>
    <row r="149" spans="1:23" s="79" customFormat="1" ht="51" x14ac:dyDescent="0.2">
      <c r="A149" s="1" t="s">
        <v>139</v>
      </c>
      <c r="B149" s="2" t="s">
        <v>24</v>
      </c>
      <c r="C149" s="2" t="s">
        <v>140</v>
      </c>
      <c r="D149" s="2" t="s">
        <v>141</v>
      </c>
      <c r="E149" s="2">
        <v>2022</v>
      </c>
      <c r="F149" s="2" t="s">
        <v>1798</v>
      </c>
      <c r="G149" s="2" t="s">
        <v>3095</v>
      </c>
      <c r="H149" s="2" t="s">
        <v>3092</v>
      </c>
      <c r="I149" s="1" t="s">
        <v>14</v>
      </c>
      <c r="J149" s="1" t="s">
        <v>3266</v>
      </c>
      <c r="K149" s="17"/>
      <c r="L149" s="54">
        <v>0.26400000000000001</v>
      </c>
      <c r="M149" s="39"/>
      <c r="N149" s="39"/>
      <c r="O149" s="39"/>
      <c r="P149" s="39"/>
      <c r="Q149" s="39"/>
      <c r="R149" s="39"/>
      <c r="S149" s="39">
        <v>398.6</v>
      </c>
      <c r="T149" s="39"/>
      <c r="U149" s="39"/>
      <c r="V149" s="39"/>
      <c r="W149" s="60"/>
    </row>
    <row r="150" spans="1:23" s="79" customFormat="1" ht="25.5" x14ac:dyDescent="0.2">
      <c r="A150" s="1" t="s">
        <v>199</v>
      </c>
      <c r="B150" s="2" t="s">
        <v>200</v>
      </c>
      <c r="C150" s="2" t="s">
        <v>201</v>
      </c>
      <c r="D150" s="2" t="s">
        <v>202</v>
      </c>
      <c r="E150" s="2">
        <v>2022</v>
      </c>
      <c r="F150" s="2" t="s">
        <v>1779</v>
      </c>
      <c r="G150" s="2" t="s">
        <v>3092</v>
      </c>
      <c r="H150" s="2" t="s">
        <v>3092</v>
      </c>
      <c r="I150" s="1" t="s">
        <v>3267</v>
      </c>
      <c r="J150" s="1" t="s">
        <v>1972</v>
      </c>
      <c r="K150" s="17"/>
      <c r="L150" s="54"/>
      <c r="M150" s="39"/>
      <c r="N150" s="39"/>
      <c r="O150" s="39"/>
      <c r="P150" s="39"/>
      <c r="Q150" s="39"/>
      <c r="R150" s="39"/>
      <c r="S150" s="39"/>
      <c r="T150" s="39"/>
      <c r="U150" s="39"/>
      <c r="V150" s="39"/>
      <c r="W150" s="60" t="s">
        <v>1694</v>
      </c>
    </row>
    <row r="151" spans="1:23" s="79" customFormat="1" ht="25.5" x14ac:dyDescent="0.2">
      <c r="A151" s="1" t="s">
        <v>199</v>
      </c>
      <c r="B151" s="2" t="s">
        <v>200</v>
      </c>
      <c r="C151" s="2" t="s">
        <v>201</v>
      </c>
      <c r="D151" s="2" t="s">
        <v>202</v>
      </c>
      <c r="E151" s="2">
        <v>2022</v>
      </c>
      <c r="F151" s="2" t="s">
        <v>1785</v>
      </c>
      <c r="G151" s="2" t="s">
        <v>3092</v>
      </c>
      <c r="H151" s="2" t="s">
        <v>3092</v>
      </c>
      <c r="I151" s="1" t="s">
        <v>3268</v>
      </c>
      <c r="J151" s="1" t="s">
        <v>1972</v>
      </c>
      <c r="K151" s="17"/>
      <c r="L151" s="54"/>
      <c r="M151" s="39"/>
      <c r="N151" s="39"/>
      <c r="O151" s="39"/>
      <c r="P151" s="39"/>
      <c r="Q151" s="39"/>
      <c r="R151" s="39"/>
      <c r="S151" s="39"/>
      <c r="T151" s="39"/>
      <c r="U151" s="39"/>
      <c r="V151" s="39"/>
      <c r="W151" s="60" t="s">
        <v>1694</v>
      </c>
    </row>
    <row r="152" spans="1:23" s="79" customFormat="1" ht="38.25" x14ac:dyDescent="0.2">
      <c r="A152" s="1" t="s">
        <v>199</v>
      </c>
      <c r="B152" s="2" t="s">
        <v>200</v>
      </c>
      <c r="C152" s="2" t="s">
        <v>201</v>
      </c>
      <c r="D152" s="2" t="s">
        <v>202</v>
      </c>
      <c r="E152" s="2">
        <v>2022</v>
      </c>
      <c r="F152" s="2" t="s">
        <v>311</v>
      </c>
      <c r="G152" s="2" t="s">
        <v>3092</v>
      </c>
      <c r="H152" s="2" t="s">
        <v>3092</v>
      </c>
      <c r="I152" s="1" t="s">
        <v>3269</v>
      </c>
      <c r="J152" s="1" t="s">
        <v>3270</v>
      </c>
      <c r="K152" s="17"/>
      <c r="L152" s="54"/>
      <c r="M152" s="39"/>
      <c r="N152" s="39"/>
      <c r="O152" s="39"/>
      <c r="P152" s="39"/>
      <c r="Q152" s="39"/>
      <c r="R152" s="39"/>
      <c r="S152" s="39"/>
      <c r="T152" s="39"/>
      <c r="U152" s="39"/>
      <c r="V152" s="39"/>
      <c r="W152" s="60" t="s">
        <v>1694</v>
      </c>
    </row>
    <row r="153" spans="1:23" s="79" customFormat="1" ht="25.5" x14ac:dyDescent="0.2">
      <c r="A153" s="1" t="s">
        <v>199</v>
      </c>
      <c r="B153" s="2" t="s">
        <v>200</v>
      </c>
      <c r="C153" s="2" t="s">
        <v>201</v>
      </c>
      <c r="D153" s="2" t="s">
        <v>202</v>
      </c>
      <c r="E153" s="2">
        <v>2022</v>
      </c>
      <c r="F153" s="2" t="s">
        <v>1798</v>
      </c>
      <c r="G153" s="2" t="s">
        <v>3092</v>
      </c>
      <c r="H153" s="2" t="s">
        <v>3092</v>
      </c>
      <c r="I153" s="1" t="s">
        <v>3271</v>
      </c>
      <c r="J153" s="1" t="s">
        <v>3272</v>
      </c>
      <c r="K153" s="17"/>
      <c r="L153" s="54"/>
      <c r="M153" s="39"/>
      <c r="N153" s="39"/>
      <c r="O153" s="39"/>
      <c r="P153" s="39"/>
      <c r="Q153" s="39"/>
      <c r="R153" s="39"/>
      <c r="S153" s="39"/>
      <c r="T153" s="39"/>
      <c r="U153" s="39"/>
      <c r="V153" s="39"/>
      <c r="W153" s="60" t="s">
        <v>1694</v>
      </c>
    </row>
    <row r="154" spans="1:23" s="79" customFormat="1" ht="102" x14ac:dyDescent="0.2">
      <c r="A154" s="1" t="s">
        <v>258</v>
      </c>
      <c r="B154" s="2" t="s">
        <v>232</v>
      </c>
      <c r="C154" s="2" t="s">
        <v>259</v>
      </c>
      <c r="D154" s="2" t="s">
        <v>108</v>
      </c>
      <c r="E154" s="2">
        <v>2022</v>
      </c>
      <c r="F154" s="2" t="s">
        <v>1787</v>
      </c>
      <c r="G154" s="2" t="s">
        <v>3092</v>
      </c>
      <c r="H154" s="2" t="s">
        <v>3092</v>
      </c>
      <c r="I154" s="1" t="s">
        <v>3273</v>
      </c>
      <c r="J154" s="1" t="s">
        <v>3274</v>
      </c>
      <c r="K154" s="17"/>
      <c r="L154" s="54" t="s">
        <v>1670</v>
      </c>
      <c r="M154" s="39"/>
      <c r="N154" s="39"/>
      <c r="O154" s="39"/>
      <c r="P154" s="39"/>
      <c r="Q154" s="39"/>
      <c r="R154" s="39"/>
      <c r="S154" s="39"/>
      <c r="T154" s="39"/>
      <c r="U154" s="39"/>
      <c r="V154" s="39">
        <v>68.5</v>
      </c>
      <c r="W154" s="60" t="s">
        <v>1699</v>
      </c>
    </row>
    <row r="155" spans="1:23" s="79" customFormat="1" ht="51" x14ac:dyDescent="0.2">
      <c r="A155" s="1" t="s">
        <v>258</v>
      </c>
      <c r="B155" s="2" t="s">
        <v>232</v>
      </c>
      <c r="C155" s="2" t="s">
        <v>259</v>
      </c>
      <c r="D155" s="2" t="s">
        <v>108</v>
      </c>
      <c r="E155" s="2">
        <v>2022</v>
      </c>
      <c r="F155" s="2" t="s">
        <v>1796</v>
      </c>
      <c r="G155" s="2" t="s">
        <v>3092</v>
      </c>
      <c r="H155" s="2" t="s">
        <v>3092</v>
      </c>
      <c r="I155" s="1" t="s">
        <v>3275</v>
      </c>
      <c r="J155" s="1" t="s">
        <v>3276</v>
      </c>
      <c r="K155" s="17"/>
      <c r="L155" s="54" t="s">
        <v>1670</v>
      </c>
      <c r="M155" s="39"/>
      <c r="N155" s="39"/>
      <c r="O155" s="39"/>
      <c r="P155" s="39"/>
      <c r="Q155" s="39"/>
      <c r="R155" s="39"/>
      <c r="S155" s="39"/>
      <c r="T155" s="39"/>
      <c r="U155" s="39"/>
      <c r="V155" s="39">
        <v>36</v>
      </c>
      <c r="W155" s="60" t="s">
        <v>1699</v>
      </c>
    </row>
    <row r="156" spans="1:23" s="79" customFormat="1" ht="63.75" x14ac:dyDescent="0.2">
      <c r="A156" s="1" t="s">
        <v>205</v>
      </c>
      <c r="B156" s="2" t="s">
        <v>196</v>
      </c>
      <c r="C156" s="2" t="s">
        <v>206</v>
      </c>
      <c r="D156" s="2" t="s">
        <v>121</v>
      </c>
      <c r="E156" s="2">
        <v>2022</v>
      </c>
      <c r="F156" s="2" t="s">
        <v>1791</v>
      </c>
      <c r="G156" s="2" t="s">
        <v>3092</v>
      </c>
      <c r="H156" s="2" t="s">
        <v>3092</v>
      </c>
      <c r="I156" s="1" t="s">
        <v>3277</v>
      </c>
      <c r="J156" s="1" t="s">
        <v>3278</v>
      </c>
      <c r="K156" s="17"/>
      <c r="L156" s="54">
        <v>0.27</v>
      </c>
      <c r="M156" s="39"/>
      <c r="N156" s="39"/>
      <c r="O156" s="39">
        <v>791.98</v>
      </c>
      <c r="P156" s="39"/>
      <c r="Q156" s="39"/>
      <c r="R156" s="39"/>
      <c r="S156" s="39"/>
      <c r="T156" s="39"/>
      <c r="U156" s="39"/>
      <c r="V156" s="39"/>
      <c r="W156" s="60"/>
    </row>
    <row r="157" spans="1:23" s="79" customFormat="1" ht="25.5" x14ac:dyDescent="0.2">
      <c r="A157" s="1" t="s">
        <v>409</v>
      </c>
      <c r="B157" s="2" t="s">
        <v>32</v>
      </c>
      <c r="C157" s="2" t="s">
        <v>410</v>
      </c>
      <c r="D157" s="2" t="s">
        <v>243</v>
      </c>
      <c r="E157" s="2">
        <v>2022</v>
      </c>
      <c r="F157" s="2" t="s">
        <v>1791</v>
      </c>
      <c r="G157" s="2" t="s">
        <v>3095</v>
      </c>
      <c r="H157" s="2" t="s">
        <v>3092</v>
      </c>
      <c r="I157" s="1" t="s">
        <v>14</v>
      </c>
      <c r="J157" s="1" t="s">
        <v>3279</v>
      </c>
      <c r="K157" s="17"/>
      <c r="L157" s="54">
        <v>0.45</v>
      </c>
      <c r="M157" s="39"/>
      <c r="N157" s="39"/>
      <c r="O157" s="39"/>
      <c r="P157" s="39"/>
      <c r="Q157" s="39"/>
      <c r="R157" s="39">
        <v>156</v>
      </c>
      <c r="S157" s="39"/>
      <c r="T157" s="39"/>
      <c r="U157" s="39"/>
      <c r="V157" s="39"/>
      <c r="W157" s="60" t="s">
        <v>1984</v>
      </c>
    </row>
    <row r="158" spans="1:23" s="79" customFormat="1" ht="25.5" x14ac:dyDescent="0.2">
      <c r="A158" s="1" t="s">
        <v>409</v>
      </c>
      <c r="B158" s="2" t="s">
        <v>32</v>
      </c>
      <c r="C158" s="2" t="s">
        <v>410</v>
      </c>
      <c r="D158" s="2" t="s">
        <v>243</v>
      </c>
      <c r="E158" s="2">
        <v>2022</v>
      </c>
      <c r="F158" s="2" t="s">
        <v>1798</v>
      </c>
      <c r="G158" s="2" t="s">
        <v>3095</v>
      </c>
      <c r="H158" s="2" t="s">
        <v>3092</v>
      </c>
      <c r="I158" s="1" t="s">
        <v>14</v>
      </c>
      <c r="J158" s="1" t="s">
        <v>3280</v>
      </c>
      <c r="K158" s="17"/>
      <c r="L158" s="54">
        <v>0.7</v>
      </c>
      <c r="M158" s="39"/>
      <c r="N158" s="39"/>
      <c r="O158" s="39"/>
      <c r="P158" s="39"/>
      <c r="Q158" s="39"/>
      <c r="R158" s="39">
        <v>96</v>
      </c>
      <c r="S158" s="39"/>
      <c r="T158" s="39"/>
      <c r="U158" s="39"/>
      <c r="V158" s="39"/>
      <c r="W158" s="60" t="s">
        <v>1984</v>
      </c>
    </row>
    <row r="159" spans="1:23" s="79" customFormat="1" ht="63.75" x14ac:dyDescent="0.2">
      <c r="A159" s="1" t="s">
        <v>358</v>
      </c>
      <c r="B159" s="2" t="s">
        <v>196</v>
      </c>
      <c r="C159" s="2" t="s">
        <v>359</v>
      </c>
      <c r="D159" s="2" t="s">
        <v>46</v>
      </c>
      <c r="E159" s="2">
        <v>2022</v>
      </c>
      <c r="F159" s="2" t="s">
        <v>311</v>
      </c>
      <c r="G159" s="2" t="s">
        <v>3093</v>
      </c>
      <c r="H159" s="2" t="s">
        <v>3092</v>
      </c>
      <c r="I159" s="1" t="s">
        <v>14</v>
      </c>
      <c r="J159" s="1" t="s">
        <v>3281</v>
      </c>
      <c r="K159" s="17"/>
      <c r="L159" s="54">
        <v>0.29170000000000001</v>
      </c>
      <c r="M159" s="39"/>
      <c r="N159" s="39"/>
      <c r="O159" s="39">
        <v>2685</v>
      </c>
      <c r="P159" s="39"/>
      <c r="Q159" s="39"/>
      <c r="R159" s="39"/>
      <c r="S159" s="39"/>
      <c r="T159" s="39"/>
      <c r="U159" s="39"/>
      <c r="V159" s="39"/>
      <c r="W159" s="60" t="s">
        <v>1737</v>
      </c>
    </row>
    <row r="160" spans="1:23" s="79" customFormat="1" ht="229.5" x14ac:dyDescent="0.2">
      <c r="A160" s="1" t="s">
        <v>358</v>
      </c>
      <c r="B160" s="2" t="s">
        <v>196</v>
      </c>
      <c r="C160" s="2" t="s">
        <v>359</v>
      </c>
      <c r="D160" s="2" t="s">
        <v>46</v>
      </c>
      <c r="E160" s="2">
        <v>2022</v>
      </c>
      <c r="F160" s="2" t="s">
        <v>1794</v>
      </c>
      <c r="G160" s="2" t="s">
        <v>3092</v>
      </c>
      <c r="H160" s="2" t="s">
        <v>3092</v>
      </c>
      <c r="I160" s="1" t="s">
        <v>3282</v>
      </c>
      <c r="J160" s="1" t="s">
        <v>3283</v>
      </c>
      <c r="K160" s="17"/>
      <c r="L160" s="54">
        <v>0.20799999999999999</v>
      </c>
      <c r="M160" s="39"/>
      <c r="N160" s="39"/>
      <c r="O160" s="39">
        <v>2556</v>
      </c>
      <c r="P160" s="39"/>
      <c r="Q160" s="39"/>
      <c r="R160" s="39"/>
      <c r="S160" s="39"/>
      <c r="T160" s="39"/>
      <c r="U160" s="39"/>
      <c r="V160" s="39"/>
      <c r="W160" s="60" t="s">
        <v>1737</v>
      </c>
    </row>
    <row r="161" spans="1:23" s="79" customFormat="1" ht="191.25" x14ac:dyDescent="0.2">
      <c r="A161" s="1" t="s">
        <v>358</v>
      </c>
      <c r="B161" s="2" t="s">
        <v>196</v>
      </c>
      <c r="C161" s="2" t="s">
        <v>359</v>
      </c>
      <c r="D161" s="2" t="s">
        <v>46</v>
      </c>
      <c r="E161" s="2">
        <v>2022</v>
      </c>
      <c r="F161" s="2" t="s">
        <v>1796</v>
      </c>
      <c r="G161" s="2" t="s">
        <v>3092</v>
      </c>
      <c r="H161" s="2" t="s">
        <v>3092</v>
      </c>
      <c r="I161" s="1" t="s">
        <v>3284</v>
      </c>
      <c r="J161" s="1" t="s">
        <v>3285</v>
      </c>
      <c r="K161" s="17"/>
      <c r="L161" s="54">
        <v>0.23100000000000001</v>
      </c>
      <c r="M161" s="39"/>
      <c r="N161" s="39"/>
      <c r="O161" s="39">
        <v>1465</v>
      </c>
      <c r="P161" s="39"/>
      <c r="Q161" s="39"/>
      <c r="R161" s="39"/>
      <c r="S161" s="39"/>
      <c r="T161" s="39"/>
      <c r="U161" s="39"/>
      <c r="V161" s="39"/>
      <c r="W161" s="60" t="s">
        <v>1737</v>
      </c>
    </row>
    <row r="162" spans="1:23" s="79" customFormat="1" ht="25.5" x14ac:dyDescent="0.2">
      <c r="A162" s="1" t="s">
        <v>358</v>
      </c>
      <c r="B162" s="2" t="s">
        <v>196</v>
      </c>
      <c r="C162" s="2" t="s">
        <v>359</v>
      </c>
      <c r="D162" s="2" t="s">
        <v>46</v>
      </c>
      <c r="E162" s="2">
        <v>2022</v>
      </c>
      <c r="F162" s="2" t="s">
        <v>1798</v>
      </c>
      <c r="G162" s="2" t="s">
        <v>3092</v>
      </c>
      <c r="H162" s="2" t="s">
        <v>3092</v>
      </c>
      <c r="I162" s="1" t="s">
        <v>3286</v>
      </c>
      <c r="J162" s="1" t="s">
        <v>3286</v>
      </c>
      <c r="K162" s="17"/>
      <c r="L162" s="54"/>
      <c r="M162" s="15"/>
      <c r="N162" s="15"/>
      <c r="O162" s="15"/>
      <c r="P162" s="15"/>
      <c r="Q162" s="15"/>
      <c r="R162" s="15"/>
      <c r="S162" s="15"/>
      <c r="T162" s="15"/>
      <c r="U162" s="15"/>
      <c r="V162" s="15"/>
      <c r="W162" s="60"/>
    </row>
    <row r="163" spans="1:23" s="79" customFormat="1" ht="76.5" x14ac:dyDescent="0.2">
      <c r="A163" s="1" t="s">
        <v>284</v>
      </c>
      <c r="B163" s="2" t="s">
        <v>264</v>
      </c>
      <c r="C163" s="2" t="s">
        <v>285</v>
      </c>
      <c r="D163" s="2" t="s">
        <v>246</v>
      </c>
      <c r="E163" s="2">
        <v>2022</v>
      </c>
      <c r="F163" s="2" t="s">
        <v>1794</v>
      </c>
      <c r="G163" s="2" t="s">
        <v>3092</v>
      </c>
      <c r="H163" s="2" t="s">
        <v>3092</v>
      </c>
      <c r="I163" s="1" t="s">
        <v>3287</v>
      </c>
      <c r="J163" s="1" t="s">
        <v>3288</v>
      </c>
      <c r="K163" s="17"/>
      <c r="L163" s="54" t="s">
        <v>1670</v>
      </c>
      <c r="M163" s="39">
        <v>23</v>
      </c>
      <c r="N163" s="39"/>
      <c r="O163" s="39"/>
      <c r="P163" s="39"/>
      <c r="Q163" s="39"/>
      <c r="R163" s="39"/>
      <c r="S163" s="39"/>
      <c r="T163" s="39"/>
      <c r="U163" s="39"/>
      <c r="V163" s="39"/>
      <c r="W163" s="60" t="s">
        <v>1764</v>
      </c>
    </row>
    <row r="164" spans="1:23" s="79" customFormat="1" ht="25.5" x14ac:dyDescent="0.2">
      <c r="A164" s="1" t="s">
        <v>98</v>
      </c>
      <c r="B164" s="2" t="s">
        <v>24</v>
      </c>
      <c r="C164" s="2" t="s">
        <v>99</v>
      </c>
      <c r="D164" s="2" t="s">
        <v>100</v>
      </c>
      <c r="E164" s="2">
        <v>2022</v>
      </c>
      <c r="F164" s="2" t="s">
        <v>1776</v>
      </c>
      <c r="G164" s="2" t="s">
        <v>3095</v>
      </c>
      <c r="H164" s="2" t="s">
        <v>3092</v>
      </c>
      <c r="I164" s="1" t="s">
        <v>14</v>
      </c>
      <c r="J164" s="1" t="s">
        <v>3289</v>
      </c>
      <c r="K164" s="17"/>
      <c r="L164" s="54" t="s">
        <v>1670</v>
      </c>
      <c r="M164" s="39"/>
      <c r="N164" s="39"/>
      <c r="O164" s="39">
        <v>148.36000000000001</v>
      </c>
      <c r="P164" s="39"/>
      <c r="Q164" s="39"/>
      <c r="R164" s="39"/>
      <c r="S164" s="39"/>
      <c r="T164" s="39"/>
      <c r="U164" s="39"/>
      <c r="V164" s="39"/>
      <c r="W164" s="60" t="s">
        <v>1742</v>
      </c>
    </row>
    <row r="165" spans="1:23" s="79" customFormat="1" ht="25.5" x14ac:dyDescent="0.2">
      <c r="A165" s="1" t="s">
        <v>98</v>
      </c>
      <c r="B165" s="2" t="s">
        <v>24</v>
      </c>
      <c r="C165" s="2" t="s">
        <v>99</v>
      </c>
      <c r="D165" s="2" t="s">
        <v>100</v>
      </c>
      <c r="E165" s="2">
        <v>2022</v>
      </c>
      <c r="F165" s="2" t="s">
        <v>1779</v>
      </c>
      <c r="G165" s="2" t="s">
        <v>3095</v>
      </c>
      <c r="H165" s="2" t="s">
        <v>3092</v>
      </c>
      <c r="I165" s="1" t="s">
        <v>14</v>
      </c>
      <c r="J165" s="1" t="s">
        <v>3290</v>
      </c>
      <c r="K165" s="17"/>
      <c r="L165" s="54">
        <v>0.23799999999999999</v>
      </c>
      <c r="M165" s="39"/>
      <c r="N165" s="39"/>
      <c r="O165" s="39">
        <v>119.25</v>
      </c>
      <c r="P165" s="39"/>
      <c r="Q165" s="39"/>
      <c r="R165" s="39"/>
      <c r="S165" s="39"/>
      <c r="T165" s="39"/>
      <c r="U165" s="39"/>
      <c r="V165" s="39"/>
      <c r="W165" s="60" t="s">
        <v>1742</v>
      </c>
    </row>
    <row r="166" spans="1:23" s="79" customFormat="1" ht="25.5" x14ac:dyDescent="0.2">
      <c r="A166" s="1" t="s">
        <v>98</v>
      </c>
      <c r="B166" s="2" t="s">
        <v>24</v>
      </c>
      <c r="C166" s="2" t="s">
        <v>99</v>
      </c>
      <c r="D166" s="2" t="s">
        <v>100</v>
      </c>
      <c r="E166" s="2">
        <v>2022</v>
      </c>
      <c r="F166" s="2" t="s">
        <v>1781</v>
      </c>
      <c r="G166" s="2" t="s">
        <v>3095</v>
      </c>
      <c r="H166" s="2" t="s">
        <v>3092</v>
      </c>
      <c r="I166" s="1" t="s">
        <v>14</v>
      </c>
      <c r="J166" s="1" t="s">
        <v>3291</v>
      </c>
      <c r="K166" s="17"/>
      <c r="L166" s="54">
        <v>0.251</v>
      </c>
      <c r="M166" s="39"/>
      <c r="N166" s="39"/>
      <c r="O166" s="39">
        <v>161.96</v>
      </c>
      <c r="P166" s="39"/>
      <c r="Q166" s="39"/>
      <c r="R166" s="39"/>
      <c r="S166" s="39"/>
      <c r="T166" s="39"/>
      <c r="U166" s="39"/>
      <c r="V166" s="39"/>
      <c r="W166" s="60" t="s">
        <v>1742</v>
      </c>
    </row>
    <row r="167" spans="1:23" s="79" customFormat="1" ht="25.5" x14ac:dyDescent="0.2">
      <c r="A167" s="1" t="s">
        <v>98</v>
      </c>
      <c r="B167" s="2" t="s">
        <v>24</v>
      </c>
      <c r="C167" s="2" t="s">
        <v>99</v>
      </c>
      <c r="D167" s="2" t="s">
        <v>100</v>
      </c>
      <c r="E167" s="2">
        <v>2022</v>
      </c>
      <c r="F167" s="2" t="s">
        <v>1783</v>
      </c>
      <c r="G167" s="2" t="s">
        <v>3095</v>
      </c>
      <c r="H167" s="2" t="s">
        <v>3092</v>
      </c>
      <c r="I167" s="1" t="s">
        <v>14</v>
      </c>
      <c r="J167" s="1" t="s">
        <v>3292</v>
      </c>
      <c r="K167" s="17"/>
      <c r="L167" s="54">
        <v>0.26</v>
      </c>
      <c r="M167" s="39"/>
      <c r="N167" s="39"/>
      <c r="O167" s="39">
        <v>168.6</v>
      </c>
      <c r="P167" s="39"/>
      <c r="Q167" s="39"/>
      <c r="R167" s="39"/>
      <c r="S167" s="39"/>
      <c r="T167" s="39"/>
      <c r="U167" s="39"/>
      <c r="V167" s="39"/>
      <c r="W167" s="60" t="s">
        <v>1742</v>
      </c>
    </row>
    <row r="168" spans="1:23" s="79" customFormat="1" ht="25.5" x14ac:dyDescent="0.2">
      <c r="A168" s="1" t="s">
        <v>98</v>
      </c>
      <c r="B168" s="2" t="s">
        <v>24</v>
      </c>
      <c r="C168" s="2" t="s">
        <v>99</v>
      </c>
      <c r="D168" s="2" t="s">
        <v>100</v>
      </c>
      <c r="E168" s="2">
        <v>2022</v>
      </c>
      <c r="F168" s="2" t="s">
        <v>1785</v>
      </c>
      <c r="G168" s="2" t="s">
        <v>3095</v>
      </c>
      <c r="H168" s="2" t="s">
        <v>3092</v>
      </c>
      <c r="I168" s="1" t="s">
        <v>14</v>
      </c>
      <c r="J168" s="1" t="s">
        <v>3293</v>
      </c>
      <c r="K168" s="17"/>
      <c r="L168" s="54">
        <v>0.27700000000000002</v>
      </c>
      <c r="M168" s="39"/>
      <c r="N168" s="39"/>
      <c r="O168" s="39">
        <v>191.9</v>
      </c>
      <c r="P168" s="39"/>
      <c r="Q168" s="39"/>
      <c r="R168" s="39"/>
      <c r="S168" s="39"/>
      <c r="T168" s="39"/>
      <c r="U168" s="39"/>
      <c r="V168" s="39"/>
      <c r="W168" s="60" t="s">
        <v>1742</v>
      </c>
    </row>
    <row r="169" spans="1:23" s="79" customFormat="1" ht="25.5" x14ac:dyDescent="0.2">
      <c r="A169" s="1" t="s">
        <v>98</v>
      </c>
      <c r="B169" s="2" t="s">
        <v>24</v>
      </c>
      <c r="C169" s="2" t="s">
        <v>99</v>
      </c>
      <c r="D169" s="2" t="s">
        <v>100</v>
      </c>
      <c r="E169" s="2">
        <v>2022</v>
      </c>
      <c r="F169" s="2" t="s">
        <v>1787</v>
      </c>
      <c r="G169" s="2" t="s">
        <v>3095</v>
      </c>
      <c r="H169" s="2" t="s">
        <v>3092</v>
      </c>
      <c r="I169" s="1" t="s">
        <v>14</v>
      </c>
      <c r="J169" s="1" t="s">
        <v>3294</v>
      </c>
      <c r="K169" s="17"/>
      <c r="L169" s="54">
        <v>0.25600000000000001</v>
      </c>
      <c r="M169" s="39"/>
      <c r="N169" s="39"/>
      <c r="O169" s="39">
        <v>281.60000000000002</v>
      </c>
      <c r="P169" s="39"/>
      <c r="Q169" s="39"/>
      <c r="R169" s="39"/>
      <c r="S169" s="39"/>
      <c r="T169" s="39"/>
      <c r="U169" s="39"/>
      <c r="V169" s="39"/>
      <c r="W169" s="60" t="s">
        <v>1742</v>
      </c>
    </row>
    <row r="170" spans="1:23" s="79" customFormat="1" ht="25.5" x14ac:dyDescent="0.2">
      <c r="A170" s="1" t="s">
        <v>98</v>
      </c>
      <c r="B170" s="2" t="s">
        <v>24</v>
      </c>
      <c r="C170" s="2" t="s">
        <v>99</v>
      </c>
      <c r="D170" s="2" t="s">
        <v>100</v>
      </c>
      <c r="E170" s="2">
        <v>2022</v>
      </c>
      <c r="F170" s="2" t="s">
        <v>1789</v>
      </c>
      <c r="G170" s="2" t="s">
        <v>3095</v>
      </c>
      <c r="H170" s="2" t="s">
        <v>3092</v>
      </c>
      <c r="I170" s="1" t="s">
        <v>14</v>
      </c>
      <c r="J170" s="1" t="s">
        <v>3295</v>
      </c>
      <c r="K170" s="17"/>
      <c r="L170" s="54">
        <v>0.27</v>
      </c>
      <c r="M170" s="39"/>
      <c r="N170" s="39"/>
      <c r="O170" s="39">
        <v>233.84</v>
      </c>
      <c r="P170" s="39"/>
      <c r="Q170" s="39"/>
      <c r="R170" s="39"/>
      <c r="S170" s="39"/>
      <c r="T170" s="39"/>
      <c r="U170" s="39"/>
      <c r="V170" s="39"/>
      <c r="W170" s="60" t="s">
        <v>1742</v>
      </c>
    </row>
    <row r="171" spans="1:23" s="79" customFormat="1" ht="25.5" x14ac:dyDescent="0.2">
      <c r="A171" s="1" t="s">
        <v>98</v>
      </c>
      <c r="B171" s="2" t="s">
        <v>24</v>
      </c>
      <c r="C171" s="2" t="s">
        <v>99</v>
      </c>
      <c r="D171" s="2" t="s">
        <v>100</v>
      </c>
      <c r="E171" s="2">
        <v>2022</v>
      </c>
      <c r="F171" s="2" t="s">
        <v>1791</v>
      </c>
      <c r="G171" s="2" t="s">
        <v>3095</v>
      </c>
      <c r="H171" s="2" t="s">
        <v>3092</v>
      </c>
      <c r="I171" s="1" t="s">
        <v>14</v>
      </c>
      <c r="J171" s="1" t="s">
        <v>3296</v>
      </c>
      <c r="K171" s="17"/>
      <c r="L171" s="54">
        <v>0.25700000000000001</v>
      </c>
      <c r="M171" s="39"/>
      <c r="N171" s="39"/>
      <c r="O171" s="39">
        <v>237.98</v>
      </c>
      <c r="P171" s="39"/>
      <c r="Q171" s="39"/>
      <c r="R171" s="39"/>
      <c r="S171" s="39"/>
      <c r="T171" s="39"/>
      <c r="U171" s="39"/>
      <c r="V171" s="39"/>
      <c r="W171" s="60" t="s">
        <v>1742</v>
      </c>
    </row>
    <row r="172" spans="1:23" s="79" customFormat="1" ht="25.5" x14ac:dyDescent="0.2">
      <c r="A172" s="1" t="s">
        <v>98</v>
      </c>
      <c r="B172" s="2" t="s">
        <v>24</v>
      </c>
      <c r="C172" s="2" t="s">
        <v>99</v>
      </c>
      <c r="D172" s="2" t="s">
        <v>100</v>
      </c>
      <c r="E172" s="2">
        <v>2022</v>
      </c>
      <c r="F172" s="2" t="s">
        <v>311</v>
      </c>
      <c r="G172" s="2" t="s">
        <v>3095</v>
      </c>
      <c r="H172" s="2" t="s">
        <v>3092</v>
      </c>
      <c r="I172" s="1" t="s">
        <v>14</v>
      </c>
      <c r="J172" s="1" t="s">
        <v>3297</v>
      </c>
      <c r="K172" s="17"/>
      <c r="L172" s="54">
        <v>0.249</v>
      </c>
      <c r="M172" s="39"/>
      <c r="N172" s="39"/>
      <c r="O172" s="39">
        <v>215.8</v>
      </c>
      <c r="P172" s="39"/>
      <c r="Q172" s="39"/>
      <c r="R172" s="39"/>
      <c r="S172" s="39"/>
      <c r="T172" s="39"/>
      <c r="U172" s="39"/>
      <c r="V172" s="39"/>
      <c r="W172" s="60" t="s">
        <v>1742</v>
      </c>
    </row>
    <row r="173" spans="1:23" s="79" customFormat="1" ht="25.5" x14ac:dyDescent="0.2">
      <c r="A173" s="1" t="s">
        <v>98</v>
      </c>
      <c r="B173" s="2" t="s">
        <v>24</v>
      </c>
      <c r="C173" s="2" t="s">
        <v>99</v>
      </c>
      <c r="D173" s="2" t="s">
        <v>100</v>
      </c>
      <c r="E173" s="2">
        <v>2022</v>
      </c>
      <c r="F173" s="2" t="s">
        <v>1794</v>
      </c>
      <c r="G173" s="2" t="s">
        <v>3095</v>
      </c>
      <c r="H173" s="2" t="s">
        <v>3092</v>
      </c>
      <c r="I173" s="1" t="s">
        <v>14</v>
      </c>
      <c r="J173" s="1" t="s">
        <v>3298</v>
      </c>
      <c r="K173" s="17"/>
      <c r="L173" s="54">
        <v>0.245</v>
      </c>
      <c r="M173" s="39"/>
      <c r="N173" s="39"/>
      <c r="O173" s="39">
        <v>237.27</v>
      </c>
      <c r="P173" s="39"/>
      <c r="Q173" s="39"/>
      <c r="R173" s="39"/>
      <c r="S173" s="39"/>
      <c r="T173" s="39"/>
      <c r="U173" s="39"/>
      <c r="V173" s="39"/>
      <c r="W173" s="60" t="s">
        <v>1742</v>
      </c>
    </row>
    <row r="174" spans="1:23" s="79" customFormat="1" ht="25.5" x14ac:dyDescent="0.2">
      <c r="A174" s="1" t="s">
        <v>98</v>
      </c>
      <c r="B174" s="2" t="s">
        <v>24</v>
      </c>
      <c r="C174" s="2" t="s">
        <v>99</v>
      </c>
      <c r="D174" s="2" t="s">
        <v>100</v>
      </c>
      <c r="E174" s="2">
        <v>2022</v>
      </c>
      <c r="F174" s="2" t="s">
        <v>1796</v>
      </c>
      <c r="G174" s="2" t="s">
        <v>3095</v>
      </c>
      <c r="H174" s="2" t="s">
        <v>3092</v>
      </c>
      <c r="I174" s="1" t="s">
        <v>14</v>
      </c>
      <c r="J174" s="1" t="s">
        <v>3299</v>
      </c>
      <c r="K174" s="17"/>
      <c r="L174" s="54">
        <v>0.23799999999999999</v>
      </c>
      <c r="M174" s="39"/>
      <c r="N174" s="39"/>
      <c r="O174" s="39">
        <v>218</v>
      </c>
      <c r="P174" s="39"/>
      <c r="Q174" s="39"/>
      <c r="R174" s="39"/>
      <c r="S174" s="39"/>
      <c r="T174" s="39"/>
      <c r="U174" s="39"/>
      <c r="V174" s="39"/>
      <c r="W174" s="60" t="s">
        <v>1742</v>
      </c>
    </row>
    <row r="175" spans="1:23" s="79" customFormat="1" ht="25.5" x14ac:dyDescent="0.2">
      <c r="A175" s="1" t="s">
        <v>98</v>
      </c>
      <c r="B175" s="2" t="s">
        <v>24</v>
      </c>
      <c r="C175" s="2" t="s">
        <v>99</v>
      </c>
      <c r="D175" s="2" t="s">
        <v>100</v>
      </c>
      <c r="E175" s="2">
        <v>2022</v>
      </c>
      <c r="F175" s="2" t="s">
        <v>1798</v>
      </c>
      <c r="G175" s="2" t="s">
        <v>3095</v>
      </c>
      <c r="H175" s="2" t="s">
        <v>3092</v>
      </c>
      <c r="I175" s="1" t="s">
        <v>14</v>
      </c>
      <c r="J175" s="1" t="s">
        <v>3300</v>
      </c>
      <c r="K175" s="17"/>
      <c r="L175" s="54">
        <v>0.24</v>
      </c>
      <c r="M175" s="39"/>
      <c r="N175" s="39"/>
      <c r="O175" s="39">
        <v>177.87</v>
      </c>
      <c r="P175" s="39"/>
      <c r="Q175" s="39"/>
      <c r="R175" s="39"/>
      <c r="S175" s="39"/>
      <c r="T175" s="39"/>
      <c r="U175" s="39"/>
      <c r="V175" s="39"/>
      <c r="W175" s="60" t="s">
        <v>1742</v>
      </c>
    </row>
    <row r="176" spans="1:23" s="79" customFormat="1" ht="178.5" x14ac:dyDescent="0.2">
      <c r="A176" s="1" t="s">
        <v>353</v>
      </c>
      <c r="B176" s="2" t="s">
        <v>340</v>
      </c>
      <c r="C176" s="2" t="s">
        <v>354</v>
      </c>
      <c r="D176" s="2" t="s">
        <v>234</v>
      </c>
      <c r="E176" s="2">
        <v>2022</v>
      </c>
      <c r="F176" s="2" t="s">
        <v>1776</v>
      </c>
      <c r="G176" s="2" t="s">
        <v>3095</v>
      </c>
      <c r="H176" s="2" t="s">
        <v>3092</v>
      </c>
      <c r="I176" s="1" t="s">
        <v>14</v>
      </c>
      <c r="J176" s="1" t="s">
        <v>3301</v>
      </c>
      <c r="K176" s="17"/>
      <c r="L176" s="54">
        <v>2.4E-2</v>
      </c>
      <c r="M176" s="39">
        <v>108</v>
      </c>
      <c r="N176" s="39"/>
      <c r="O176" s="39"/>
      <c r="P176" s="39"/>
      <c r="Q176" s="39"/>
      <c r="R176" s="39"/>
      <c r="S176" s="39"/>
      <c r="T176" s="39"/>
      <c r="U176" s="39"/>
      <c r="V176" s="39"/>
      <c r="W176" s="60" t="s">
        <v>1767</v>
      </c>
    </row>
    <row r="177" spans="1:23" s="79" customFormat="1" ht="178.5" x14ac:dyDescent="0.2">
      <c r="A177" s="1" t="s">
        <v>353</v>
      </c>
      <c r="B177" s="2" t="s">
        <v>340</v>
      </c>
      <c r="C177" s="2" t="s">
        <v>354</v>
      </c>
      <c r="D177" s="2" t="s">
        <v>234</v>
      </c>
      <c r="E177" s="2">
        <v>2022</v>
      </c>
      <c r="F177" s="2" t="s">
        <v>1779</v>
      </c>
      <c r="G177" s="2" t="s">
        <v>3095</v>
      </c>
      <c r="H177" s="2" t="s">
        <v>3092</v>
      </c>
      <c r="I177" s="1" t="s">
        <v>14</v>
      </c>
      <c r="J177" s="1" t="s">
        <v>3302</v>
      </c>
      <c r="K177" s="17"/>
      <c r="L177" s="54">
        <v>4.9000000000000002E-2</v>
      </c>
      <c r="M177" s="39">
        <v>114</v>
      </c>
      <c r="N177" s="39"/>
      <c r="O177" s="39"/>
      <c r="P177" s="39"/>
      <c r="Q177" s="39"/>
      <c r="R177" s="39"/>
      <c r="S177" s="39"/>
      <c r="T177" s="39"/>
      <c r="U177" s="39"/>
      <c r="V177" s="39"/>
      <c r="W177" s="60" t="s">
        <v>1767</v>
      </c>
    </row>
    <row r="178" spans="1:23" s="79" customFormat="1" ht="89.25" x14ac:dyDescent="0.2">
      <c r="A178" s="1" t="s">
        <v>342</v>
      </c>
      <c r="B178" s="2" t="s">
        <v>343</v>
      </c>
      <c r="C178" s="2" t="s">
        <v>344</v>
      </c>
      <c r="D178" s="2" t="s">
        <v>187</v>
      </c>
      <c r="E178" s="2">
        <v>2022</v>
      </c>
      <c r="F178" s="2" t="s">
        <v>311</v>
      </c>
      <c r="G178" s="2" t="s">
        <v>3092</v>
      </c>
      <c r="H178" s="2" t="s">
        <v>3093</v>
      </c>
      <c r="I178" s="1" t="s">
        <v>3303</v>
      </c>
      <c r="J178" s="1" t="s">
        <v>14</v>
      </c>
      <c r="K178" s="17"/>
      <c r="L178" s="54" t="s">
        <v>1670</v>
      </c>
      <c r="M178" s="39"/>
      <c r="N178" s="39"/>
      <c r="O178" s="39"/>
      <c r="P178" s="39"/>
      <c r="Q178" s="39"/>
      <c r="R178" s="39"/>
      <c r="S178" s="39"/>
      <c r="T178" s="39"/>
      <c r="U178" s="39"/>
      <c r="V178" s="39">
        <v>270</v>
      </c>
      <c r="W178" s="60" t="s">
        <v>3304</v>
      </c>
    </row>
    <row r="179" spans="1:23" s="79" customFormat="1" ht="63.75" x14ac:dyDescent="0.2">
      <c r="A179" s="1" t="s">
        <v>342</v>
      </c>
      <c r="B179" s="2" t="s">
        <v>343</v>
      </c>
      <c r="C179" s="2" t="s">
        <v>344</v>
      </c>
      <c r="D179" s="2" t="s">
        <v>187</v>
      </c>
      <c r="E179" s="2">
        <v>2022</v>
      </c>
      <c r="F179" s="2" t="s">
        <v>1794</v>
      </c>
      <c r="G179" s="2" t="s">
        <v>3092</v>
      </c>
      <c r="H179" s="2" t="s">
        <v>3093</v>
      </c>
      <c r="I179" s="1" t="s">
        <v>3305</v>
      </c>
      <c r="J179" s="1" t="s">
        <v>14</v>
      </c>
      <c r="K179" s="17"/>
      <c r="L179" s="54" t="s">
        <v>1670</v>
      </c>
      <c r="M179" s="39"/>
      <c r="N179" s="39"/>
      <c r="O179" s="39"/>
      <c r="P179" s="39"/>
      <c r="Q179" s="39"/>
      <c r="R179" s="39"/>
      <c r="S179" s="39"/>
      <c r="T179" s="39"/>
      <c r="U179" s="39"/>
      <c r="V179" s="39">
        <v>10</v>
      </c>
      <c r="W179" s="60" t="s">
        <v>3304</v>
      </c>
    </row>
    <row r="180" spans="1:23" s="79" customFormat="1" ht="63.75" x14ac:dyDescent="0.2">
      <c r="A180" s="1" t="s">
        <v>342</v>
      </c>
      <c r="B180" s="2" t="s">
        <v>343</v>
      </c>
      <c r="C180" s="2" t="s">
        <v>344</v>
      </c>
      <c r="D180" s="2" t="s">
        <v>187</v>
      </c>
      <c r="E180" s="2">
        <v>2022</v>
      </c>
      <c r="F180" s="2" t="s">
        <v>1798</v>
      </c>
      <c r="G180" s="2" t="s">
        <v>3092</v>
      </c>
      <c r="H180" s="2" t="s">
        <v>3093</v>
      </c>
      <c r="I180" s="1" t="s">
        <v>3306</v>
      </c>
      <c r="J180" s="1" t="s">
        <v>14</v>
      </c>
      <c r="K180" s="17"/>
      <c r="L180" s="54"/>
      <c r="M180" s="39"/>
      <c r="N180" s="39"/>
      <c r="O180" s="39"/>
      <c r="P180" s="39"/>
      <c r="Q180" s="39"/>
      <c r="R180" s="39"/>
      <c r="S180" s="39"/>
      <c r="T180" s="39"/>
      <c r="U180" s="39"/>
      <c r="V180" s="39"/>
      <c r="W180" s="60" t="s">
        <v>1683</v>
      </c>
    </row>
    <row r="181" spans="1:23" s="79" customFormat="1" ht="63.75" x14ac:dyDescent="0.2">
      <c r="A181" s="1" t="s">
        <v>1096</v>
      </c>
      <c r="B181" s="2" t="s">
        <v>213</v>
      </c>
      <c r="C181" s="2" t="s">
        <v>344</v>
      </c>
      <c r="D181" s="2" t="s">
        <v>187</v>
      </c>
      <c r="E181" s="2">
        <v>2022</v>
      </c>
      <c r="F181" s="2" t="s">
        <v>1781</v>
      </c>
      <c r="G181" s="2" t="s">
        <v>3095</v>
      </c>
      <c r="H181" s="2" t="s">
        <v>3092</v>
      </c>
      <c r="I181" s="1" t="s">
        <v>14</v>
      </c>
      <c r="J181" s="1" t="s">
        <v>3307</v>
      </c>
      <c r="K181" s="17"/>
      <c r="L181" s="54"/>
      <c r="M181" s="39"/>
      <c r="N181" s="39"/>
      <c r="O181" s="39"/>
      <c r="P181" s="39"/>
      <c r="Q181" s="39"/>
      <c r="R181" s="39"/>
      <c r="S181" s="39"/>
      <c r="T181" s="39"/>
      <c r="U181" s="39"/>
      <c r="V181" s="39"/>
      <c r="W181" s="60" t="s">
        <v>1683</v>
      </c>
    </row>
    <row r="182" spans="1:23" s="79" customFormat="1" ht="38.25" x14ac:dyDescent="0.2">
      <c r="A182" s="1" t="s">
        <v>1096</v>
      </c>
      <c r="B182" s="2" t="s">
        <v>213</v>
      </c>
      <c r="C182" s="2" t="s">
        <v>344</v>
      </c>
      <c r="D182" s="2" t="s">
        <v>187</v>
      </c>
      <c r="E182" s="2">
        <v>2022</v>
      </c>
      <c r="F182" s="2" t="s">
        <v>1791</v>
      </c>
      <c r="G182" s="2" t="s">
        <v>3095</v>
      </c>
      <c r="H182" s="2" t="s">
        <v>3092</v>
      </c>
      <c r="I182" s="1" t="s">
        <v>14</v>
      </c>
      <c r="J182" s="1" t="s">
        <v>3308</v>
      </c>
      <c r="K182" s="17"/>
      <c r="L182" s="54"/>
      <c r="M182" s="39"/>
      <c r="N182" s="39"/>
      <c r="O182" s="39"/>
      <c r="P182" s="39"/>
      <c r="Q182" s="39"/>
      <c r="R182" s="39"/>
      <c r="S182" s="39"/>
      <c r="T182" s="39"/>
      <c r="U182" s="39"/>
      <c r="V182" s="39"/>
      <c r="W182" s="60" t="s">
        <v>1683</v>
      </c>
    </row>
    <row r="183" spans="1:23" s="79" customFormat="1" ht="25.5" x14ac:dyDescent="0.2">
      <c r="A183" s="1" t="s">
        <v>1096</v>
      </c>
      <c r="B183" s="2" t="s">
        <v>213</v>
      </c>
      <c r="C183" s="2" t="s">
        <v>344</v>
      </c>
      <c r="D183" s="2" t="s">
        <v>187</v>
      </c>
      <c r="E183" s="2">
        <v>2022</v>
      </c>
      <c r="F183" s="2" t="s">
        <v>1798</v>
      </c>
      <c r="G183" s="2" t="s">
        <v>3095</v>
      </c>
      <c r="H183" s="2" t="s">
        <v>3092</v>
      </c>
      <c r="I183" s="1" t="s">
        <v>14</v>
      </c>
      <c r="J183" s="1" t="s">
        <v>3309</v>
      </c>
      <c r="K183" s="17"/>
      <c r="L183" s="54"/>
      <c r="M183" s="39"/>
      <c r="N183" s="39"/>
      <c r="O183" s="39"/>
      <c r="P183" s="39"/>
      <c r="Q183" s="39"/>
      <c r="R183" s="39"/>
      <c r="S183" s="39"/>
      <c r="T183" s="39"/>
      <c r="U183" s="39"/>
      <c r="V183" s="39"/>
      <c r="W183" s="60" t="s">
        <v>1683</v>
      </c>
    </row>
    <row r="184" spans="1:23" s="79" customFormat="1" ht="38.25" x14ac:dyDescent="0.2">
      <c r="A184" s="1" t="s">
        <v>309</v>
      </c>
      <c r="B184" s="2" t="s">
        <v>213</v>
      </c>
      <c r="C184" s="2" t="s">
        <v>310</v>
      </c>
      <c r="D184" s="2" t="s">
        <v>132</v>
      </c>
      <c r="E184" s="2">
        <v>2022</v>
      </c>
      <c r="F184" s="2" t="s">
        <v>1789</v>
      </c>
      <c r="G184" s="2" t="s">
        <v>3095</v>
      </c>
      <c r="H184" s="2" t="s">
        <v>3092</v>
      </c>
      <c r="I184" s="1" t="s">
        <v>14</v>
      </c>
      <c r="J184" s="1" t="s">
        <v>3310</v>
      </c>
      <c r="K184" s="17"/>
      <c r="L184" s="54" t="s">
        <v>1670</v>
      </c>
      <c r="M184" s="39"/>
      <c r="N184" s="39"/>
      <c r="O184" s="39"/>
      <c r="P184" s="39"/>
      <c r="Q184" s="39"/>
      <c r="R184" s="39"/>
      <c r="S184" s="39"/>
      <c r="T184" s="39"/>
      <c r="U184" s="39"/>
      <c r="V184" s="39">
        <v>24</v>
      </c>
      <c r="W184" s="60" t="s">
        <v>3304</v>
      </c>
    </row>
    <row r="185" spans="1:23" s="79" customFormat="1" ht="25.5" x14ac:dyDescent="0.2">
      <c r="A185" s="1" t="s">
        <v>309</v>
      </c>
      <c r="B185" s="2" t="s">
        <v>213</v>
      </c>
      <c r="C185" s="2" t="s">
        <v>310</v>
      </c>
      <c r="D185" s="2" t="s">
        <v>132</v>
      </c>
      <c r="E185" s="2">
        <v>2022</v>
      </c>
      <c r="F185" s="2" t="s">
        <v>1794</v>
      </c>
      <c r="G185" s="2" t="s">
        <v>3095</v>
      </c>
      <c r="H185" s="2" t="s">
        <v>3092</v>
      </c>
      <c r="I185" s="1" t="s">
        <v>14</v>
      </c>
      <c r="J185" s="1" t="s">
        <v>3311</v>
      </c>
      <c r="K185" s="17"/>
      <c r="L185" s="54"/>
      <c r="M185" s="39"/>
      <c r="N185" s="39"/>
      <c r="O185" s="39"/>
      <c r="P185" s="39"/>
      <c r="Q185" s="39"/>
      <c r="R185" s="39"/>
      <c r="S185" s="39"/>
      <c r="T185" s="39"/>
      <c r="U185" s="39"/>
      <c r="V185" s="39"/>
      <c r="W185" s="60" t="s">
        <v>1683</v>
      </c>
    </row>
    <row r="186" spans="1:23" s="79" customFormat="1" ht="25.5" x14ac:dyDescent="0.2">
      <c r="A186" s="1" t="s">
        <v>309</v>
      </c>
      <c r="B186" s="2" t="s">
        <v>213</v>
      </c>
      <c r="C186" s="2" t="s">
        <v>310</v>
      </c>
      <c r="D186" s="2" t="s">
        <v>132</v>
      </c>
      <c r="E186" s="2">
        <v>2022</v>
      </c>
      <c r="F186" s="2" t="s">
        <v>1796</v>
      </c>
      <c r="G186" s="2" t="s">
        <v>3095</v>
      </c>
      <c r="H186" s="2" t="s">
        <v>3092</v>
      </c>
      <c r="I186" s="1" t="s">
        <v>14</v>
      </c>
      <c r="J186" s="1" t="s">
        <v>3312</v>
      </c>
      <c r="K186" s="17"/>
      <c r="L186" s="54"/>
      <c r="M186" s="39"/>
      <c r="N186" s="39"/>
      <c r="O186" s="39"/>
      <c r="P186" s="39"/>
      <c r="Q186" s="39"/>
      <c r="R186" s="39"/>
      <c r="S186" s="39"/>
      <c r="T186" s="39"/>
      <c r="U186" s="39"/>
      <c r="V186" s="39"/>
      <c r="W186" s="60" t="s">
        <v>1683</v>
      </c>
    </row>
    <row r="187" spans="1:23" s="79" customFormat="1" ht="395.25" x14ac:dyDescent="0.2">
      <c r="A187" s="1" t="s">
        <v>3313</v>
      </c>
      <c r="B187" s="2" t="s">
        <v>196</v>
      </c>
      <c r="C187" s="2" t="s">
        <v>415</v>
      </c>
      <c r="D187" s="2" t="s">
        <v>415</v>
      </c>
      <c r="E187" s="2">
        <v>2022</v>
      </c>
      <c r="F187" s="2" t="s">
        <v>1796</v>
      </c>
      <c r="G187" s="2" t="s">
        <v>3092</v>
      </c>
      <c r="H187" s="2" t="s">
        <v>3093</v>
      </c>
      <c r="I187" s="1" t="s">
        <v>3314</v>
      </c>
      <c r="J187" s="1" t="s">
        <v>3315</v>
      </c>
      <c r="K187" s="17"/>
      <c r="L187" s="54"/>
      <c r="M187" s="39"/>
      <c r="N187" s="39"/>
      <c r="O187" s="39"/>
      <c r="P187" s="39"/>
      <c r="Q187" s="39"/>
      <c r="R187" s="39"/>
      <c r="S187" s="39"/>
      <c r="T187" s="39"/>
      <c r="U187" s="39"/>
      <c r="V187" s="39"/>
      <c r="W187" s="60" t="s">
        <v>1693</v>
      </c>
    </row>
    <row r="188" spans="1:23" s="79" customFormat="1" ht="76.5" x14ac:dyDescent="0.2">
      <c r="A188" s="1" t="s">
        <v>351</v>
      </c>
      <c r="B188" s="2" t="s">
        <v>38</v>
      </c>
      <c r="C188" s="2" t="s">
        <v>352</v>
      </c>
      <c r="D188" s="2" t="s">
        <v>58</v>
      </c>
      <c r="E188" s="2">
        <v>2022</v>
      </c>
      <c r="F188" s="2" t="s">
        <v>1794</v>
      </c>
      <c r="G188" s="2" t="s">
        <v>3095</v>
      </c>
      <c r="H188" s="2" t="s">
        <v>3092</v>
      </c>
      <c r="I188" s="1" t="s">
        <v>14</v>
      </c>
      <c r="J188" s="1" t="s">
        <v>3316</v>
      </c>
      <c r="K188" s="17"/>
      <c r="L188" s="54"/>
      <c r="M188" s="39"/>
      <c r="N188" s="39"/>
      <c r="O188" s="39"/>
      <c r="P188" s="39"/>
      <c r="Q188" s="39"/>
      <c r="R188" s="39"/>
      <c r="S188" s="39"/>
      <c r="T188" s="39"/>
      <c r="U188" s="39"/>
      <c r="V188" s="39"/>
      <c r="W188" s="60" t="s">
        <v>3317</v>
      </c>
    </row>
    <row r="189" spans="1:23" s="79" customFormat="1" ht="38.25" x14ac:dyDescent="0.2">
      <c r="A189" s="1" t="s">
        <v>160</v>
      </c>
      <c r="B189" s="2" t="s">
        <v>48</v>
      </c>
      <c r="C189" s="2" t="s">
        <v>161</v>
      </c>
      <c r="D189" s="2" t="s">
        <v>121</v>
      </c>
      <c r="E189" s="2">
        <v>2022</v>
      </c>
      <c r="F189" s="2" t="s">
        <v>1776</v>
      </c>
      <c r="G189" s="2" t="s">
        <v>3095</v>
      </c>
      <c r="H189" s="2" t="s">
        <v>3092</v>
      </c>
      <c r="I189" s="1" t="s">
        <v>14</v>
      </c>
      <c r="J189" s="1" t="s">
        <v>3318</v>
      </c>
      <c r="K189" s="17"/>
      <c r="L189" s="80">
        <v>0.184</v>
      </c>
      <c r="M189" s="15"/>
      <c r="N189" s="15"/>
      <c r="O189" s="15">
        <v>165.9</v>
      </c>
      <c r="P189" s="15"/>
      <c r="Q189" s="15"/>
      <c r="R189" s="15"/>
      <c r="S189" s="15"/>
      <c r="T189" s="15"/>
      <c r="U189" s="15"/>
      <c r="V189" s="15"/>
      <c r="W189" s="60"/>
    </row>
    <row r="190" spans="1:23" s="79" customFormat="1" ht="38.25" x14ac:dyDescent="0.2">
      <c r="A190" s="1" t="s">
        <v>160</v>
      </c>
      <c r="B190" s="2" t="s">
        <v>48</v>
      </c>
      <c r="C190" s="2" t="s">
        <v>161</v>
      </c>
      <c r="D190" s="2" t="s">
        <v>121</v>
      </c>
      <c r="E190" s="2">
        <v>2022</v>
      </c>
      <c r="F190" s="2" t="s">
        <v>1779</v>
      </c>
      <c r="G190" s="2" t="s">
        <v>3095</v>
      </c>
      <c r="H190" s="2" t="s">
        <v>3092</v>
      </c>
      <c r="I190" s="1" t="s">
        <v>14</v>
      </c>
      <c r="J190" s="1" t="s">
        <v>3319</v>
      </c>
      <c r="K190" s="17"/>
      <c r="L190" s="54">
        <v>0.192</v>
      </c>
      <c r="M190" s="39"/>
      <c r="N190" s="39"/>
      <c r="O190" s="39">
        <v>218.9</v>
      </c>
      <c r="P190" s="39"/>
      <c r="Q190" s="39"/>
      <c r="R190" s="39"/>
      <c r="S190" s="39"/>
      <c r="T190" s="39"/>
      <c r="U190" s="39"/>
      <c r="V190" s="39"/>
      <c r="W190" s="60"/>
    </row>
    <row r="191" spans="1:23" s="79" customFormat="1" ht="38.25" x14ac:dyDescent="0.2">
      <c r="A191" s="1" t="s">
        <v>160</v>
      </c>
      <c r="B191" s="2" t="s">
        <v>48</v>
      </c>
      <c r="C191" s="2" t="s">
        <v>161</v>
      </c>
      <c r="D191" s="2" t="s">
        <v>121</v>
      </c>
      <c r="E191" s="2">
        <v>2022</v>
      </c>
      <c r="F191" s="2" t="s">
        <v>1781</v>
      </c>
      <c r="G191" s="2" t="s">
        <v>3095</v>
      </c>
      <c r="H191" s="2" t="s">
        <v>3092</v>
      </c>
      <c r="I191" s="1" t="s">
        <v>14</v>
      </c>
      <c r="J191" s="1" t="s">
        <v>3320</v>
      </c>
      <c r="K191" s="17"/>
      <c r="L191" s="54">
        <v>0.20399999999999999</v>
      </c>
      <c r="M191" s="39"/>
      <c r="N191" s="39"/>
      <c r="O191" s="39">
        <v>184.7</v>
      </c>
      <c r="P191" s="39"/>
      <c r="Q191" s="39"/>
      <c r="R191" s="39"/>
      <c r="S191" s="39"/>
      <c r="T191" s="39"/>
      <c r="U191" s="39"/>
      <c r="V191" s="39"/>
      <c r="W191" s="60"/>
    </row>
    <row r="192" spans="1:23" s="79" customFormat="1" ht="38.25" x14ac:dyDescent="0.2">
      <c r="A192" s="1" t="s">
        <v>160</v>
      </c>
      <c r="B192" s="2" t="s">
        <v>48</v>
      </c>
      <c r="C192" s="2" t="s">
        <v>161</v>
      </c>
      <c r="D192" s="2" t="s">
        <v>121</v>
      </c>
      <c r="E192" s="2">
        <v>2022</v>
      </c>
      <c r="F192" s="2" t="s">
        <v>1783</v>
      </c>
      <c r="G192" s="2" t="s">
        <v>3095</v>
      </c>
      <c r="H192" s="2" t="s">
        <v>3092</v>
      </c>
      <c r="I192" s="1" t="s">
        <v>14</v>
      </c>
      <c r="J192" s="1" t="s">
        <v>3321</v>
      </c>
      <c r="K192" s="17"/>
      <c r="L192" s="54">
        <v>0.21199999999999999</v>
      </c>
      <c r="M192" s="39"/>
      <c r="N192" s="39"/>
      <c r="O192" s="39">
        <v>94.8</v>
      </c>
      <c r="P192" s="39"/>
      <c r="Q192" s="39"/>
      <c r="R192" s="39"/>
      <c r="S192" s="39"/>
      <c r="T192" s="39"/>
      <c r="U192" s="39"/>
      <c r="V192" s="39"/>
      <c r="W192" s="60"/>
    </row>
    <row r="193" spans="1:23" s="79" customFormat="1" ht="38.25" x14ac:dyDescent="0.2">
      <c r="A193" s="1" t="s">
        <v>160</v>
      </c>
      <c r="B193" s="2" t="s">
        <v>48</v>
      </c>
      <c r="C193" s="2" t="s">
        <v>161</v>
      </c>
      <c r="D193" s="2" t="s">
        <v>121</v>
      </c>
      <c r="E193" s="2">
        <v>2022</v>
      </c>
      <c r="F193" s="2" t="s">
        <v>1785</v>
      </c>
      <c r="G193" s="2" t="s">
        <v>3095</v>
      </c>
      <c r="H193" s="2" t="s">
        <v>3092</v>
      </c>
      <c r="I193" s="1" t="s">
        <v>14</v>
      </c>
      <c r="J193" s="1" t="s">
        <v>3322</v>
      </c>
      <c r="K193" s="17"/>
      <c r="L193" s="54">
        <v>0.21299999999999999</v>
      </c>
      <c r="M193" s="39"/>
      <c r="N193" s="39"/>
      <c r="O193" s="39">
        <v>232.2</v>
      </c>
      <c r="P193" s="39"/>
      <c r="Q193" s="39"/>
      <c r="R193" s="39"/>
      <c r="S193" s="39"/>
      <c r="T193" s="39"/>
      <c r="U193" s="39"/>
      <c r="V193" s="39"/>
      <c r="W193" s="60"/>
    </row>
    <row r="194" spans="1:23" s="79" customFormat="1" ht="38.25" x14ac:dyDescent="0.2">
      <c r="A194" s="1" t="s">
        <v>160</v>
      </c>
      <c r="B194" s="2" t="s">
        <v>48</v>
      </c>
      <c r="C194" s="2" t="s">
        <v>161</v>
      </c>
      <c r="D194" s="2" t="s">
        <v>121</v>
      </c>
      <c r="E194" s="2">
        <v>2022</v>
      </c>
      <c r="F194" s="2" t="s">
        <v>1787</v>
      </c>
      <c r="G194" s="2" t="s">
        <v>3095</v>
      </c>
      <c r="H194" s="2" t="s">
        <v>3092</v>
      </c>
      <c r="I194" s="1" t="s">
        <v>14</v>
      </c>
      <c r="J194" s="1" t="s">
        <v>3323</v>
      </c>
      <c r="K194" s="17"/>
      <c r="L194" s="54">
        <v>0.216</v>
      </c>
      <c r="M194" s="39"/>
      <c r="N194" s="39"/>
      <c r="O194" s="39">
        <v>90.5</v>
      </c>
      <c r="P194" s="39"/>
      <c r="Q194" s="39"/>
      <c r="R194" s="39"/>
      <c r="S194" s="39"/>
      <c r="T194" s="39"/>
      <c r="U194" s="39"/>
      <c r="V194" s="39"/>
      <c r="W194" s="60"/>
    </row>
    <row r="195" spans="1:23" s="79" customFormat="1" ht="38.25" x14ac:dyDescent="0.2">
      <c r="A195" s="1" t="s">
        <v>160</v>
      </c>
      <c r="B195" s="2" t="s">
        <v>48</v>
      </c>
      <c r="C195" s="2" t="s">
        <v>161</v>
      </c>
      <c r="D195" s="2" t="s">
        <v>121</v>
      </c>
      <c r="E195" s="2">
        <v>2022</v>
      </c>
      <c r="F195" s="2" t="s">
        <v>1789</v>
      </c>
      <c r="G195" s="2" t="s">
        <v>3095</v>
      </c>
      <c r="H195" s="2" t="s">
        <v>3092</v>
      </c>
      <c r="I195" s="1" t="s">
        <v>14</v>
      </c>
      <c r="J195" s="1" t="s">
        <v>3324</v>
      </c>
      <c r="K195" s="17"/>
      <c r="L195" s="54">
        <v>0.20200000000000001</v>
      </c>
      <c r="M195" s="39"/>
      <c r="N195" s="39"/>
      <c r="O195" s="39">
        <v>210.3</v>
      </c>
      <c r="P195" s="39"/>
      <c r="Q195" s="39"/>
      <c r="R195" s="39"/>
      <c r="S195" s="39"/>
      <c r="T195" s="39"/>
      <c r="U195" s="39"/>
      <c r="V195" s="39"/>
      <c r="W195" s="60"/>
    </row>
    <row r="196" spans="1:23" s="79" customFormat="1" ht="38.25" x14ac:dyDescent="0.2">
      <c r="A196" s="1" t="s">
        <v>160</v>
      </c>
      <c r="B196" s="2" t="s">
        <v>48</v>
      </c>
      <c r="C196" s="2" t="s">
        <v>161</v>
      </c>
      <c r="D196" s="2" t="s">
        <v>121</v>
      </c>
      <c r="E196" s="2">
        <v>2022</v>
      </c>
      <c r="F196" s="2" t="s">
        <v>1791</v>
      </c>
      <c r="G196" s="2" t="s">
        <v>3095</v>
      </c>
      <c r="H196" s="2" t="s">
        <v>3092</v>
      </c>
      <c r="I196" s="1" t="s">
        <v>14</v>
      </c>
      <c r="J196" s="1" t="s">
        <v>3325</v>
      </c>
      <c r="K196" s="17"/>
      <c r="L196" s="54">
        <v>0.19600000000000001</v>
      </c>
      <c r="M196" s="39"/>
      <c r="N196" s="39"/>
      <c r="O196" s="39">
        <v>214.5</v>
      </c>
      <c r="P196" s="39"/>
      <c r="Q196" s="39"/>
      <c r="R196" s="39"/>
      <c r="S196" s="39"/>
      <c r="T196" s="39"/>
      <c r="U196" s="39"/>
      <c r="V196" s="39"/>
      <c r="W196" s="60"/>
    </row>
    <row r="197" spans="1:23" s="79" customFormat="1" ht="38.25" x14ac:dyDescent="0.2">
      <c r="A197" s="1" t="s">
        <v>160</v>
      </c>
      <c r="B197" s="2" t="s">
        <v>48</v>
      </c>
      <c r="C197" s="2" t="s">
        <v>161</v>
      </c>
      <c r="D197" s="2" t="s">
        <v>121</v>
      </c>
      <c r="E197" s="2">
        <v>2022</v>
      </c>
      <c r="F197" s="2" t="s">
        <v>311</v>
      </c>
      <c r="G197" s="2" t="s">
        <v>3095</v>
      </c>
      <c r="H197" s="2" t="s">
        <v>3092</v>
      </c>
      <c r="I197" s="1" t="s">
        <v>14</v>
      </c>
      <c r="J197" s="1" t="s">
        <v>3326</v>
      </c>
      <c r="K197" s="17"/>
      <c r="L197" s="54">
        <v>0.19400000000000001</v>
      </c>
      <c r="M197" s="39"/>
      <c r="N197" s="39"/>
      <c r="O197" s="39">
        <v>117.5</v>
      </c>
      <c r="P197" s="39"/>
      <c r="Q197" s="39"/>
      <c r="R197" s="39"/>
      <c r="S197" s="39"/>
      <c r="T197" s="39"/>
      <c r="U197" s="39"/>
      <c r="V197" s="39"/>
      <c r="W197" s="60"/>
    </row>
    <row r="198" spans="1:23" s="79" customFormat="1" ht="38.25" x14ac:dyDescent="0.2">
      <c r="A198" s="1" t="s">
        <v>160</v>
      </c>
      <c r="B198" s="2" t="s">
        <v>48</v>
      </c>
      <c r="C198" s="2" t="s">
        <v>161</v>
      </c>
      <c r="D198" s="2" t="s">
        <v>121</v>
      </c>
      <c r="E198" s="2">
        <v>2022</v>
      </c>
      <c r="F198" s="2" t="s">
        <v>1794</v>
      </c>
      <c r="G198" s="2" t="s">
        <v>3095</v>
      </c>
      <c r="H198" s="2" t="s">
        <v>3092</v>
      </c>
      <c r="I198" s="1" t="s">
        <v>14</v>
      </c>
      <c r="J198" s="1" t="s">
        <v>3327</v>
      </c>
      <c r="K198" s="17"/>
      <c r="L198" s="54">
        <v>0.19</v>
      </c>
      <c r="M198" s="39"/>
      <c r="N198" s="39"/>
      <c r="O198" s="39">
        <v>194.3</v>
      </c>
      <c r="P198" s="39"/>
      <c r="Q198" s="39"/>
      <c r="R198" s="39"/>
      <c r="S198" s="39"/>
      <c r="T198" s="39"/>
      <c r="U198" s="39"/>
      <c r="V198" s="39"/>
      <c r="W198" s="60"/>
    </row>
    <row r="199" spans="1:23" s="79" customFormat="1" ht="38.25" x14ac:dyDescent="0.2">
      <c r="A199" s="1" t="s">
        <v>160</v>
      </c>
      <c r="B199" s="2" t="s">
        <v>48</v>
      </c>
      <c r="C199" s="2" t="s">
        <v>161</v>
      </c>
      <c r="D199" s="2" t="s">
        <v>121</v>
      </c>
      <c r="E199" s="2">
        <v>2022</v>
      </c>
      <c r="F199" s="2" t="s">
        <v>1796</v>
      </c>
      <c r="G199" s="2" t="s">
        <v>3095</v>
      </c>
      <c r="H199" s="2" t="s">
        <v>3092</v>
      </c>
      <c r="I199" s="1" t="s">
        <v>14</v>
      </c>
      <c r="J199" s="1" t="s">
        <v>3328</v>
      </c>
      <c r="K199" s="17"/>
      <c r="L199" s="54">
        <v>0.19400000000000001</v>
      </c>
      <c r="M199" s="39"/>
      <c r="N199" s="39"/>
      <c r="O199" s="39">
        <v>195.7</v>
      </c>
      <c r="P199" s="39"/>
      <c r="Q199" s="39"/>
      <c r="R199" s="39"/>
      <c r="S199" s="39"/>
      <c r="T199" s="39"/>
      <c r="U199" s="39"/>
      <c r="V199" s="39"/>
      <c r="W199" s="60"/>
    </row>
    <row r="200" spans="1:23" s="79" customFormat="1" ht="38.25" x14ac:dyDescent="0.2">
      <c r="A200" s="1" t="s">
        <v>160</v>
      </c>
      <c r="B200" s="2" t="s">
        <v>48</v>
      </c>
      <c r="C200" s="2" t="s">
        <v>161</v>
      </c>
      <c r="D200" s="2" t="s">
        <v>121</v>
      </c>
      <c r="E200" s="2">
        <v>2022</v>
      </c>
      <c r="F200" s="2" t="s">
        <v>1798</v>
      </c>
      <c r="G200" s="2" t="s">
        <v>3095</v>
      </c>
      <c r="H200" s="2" t="s">
        <v>3092</v>
      </c>
      <c r="I200" s="1" t="s">
        <v>14</v>
      </c>
      <c r="J200" s="1" t="s">
        <v>3329</v>
      </c>
      <c r="K200" s="17"/>
      <c r="L200" s="54">
        <v>0.188</v>
      </c>
      <c r="M200" s="39"/>
      <c r="N200" s="39"/>
      <c r="O200" s="39">
        <v>200.6</v>
      </c>
      <c r="P200" s="39"/>
      <c r="Q200" s="39"/>
      <c r="R200" s="39"/>
      <c r="S200" s="39"/>
      <c r="T200" s="39"/>
      <c r="U200" s="39"/>
      <c r="V200" s="39"/>
      <c r="W200" s="60"/>
    </row>
    <row r="201" spans="1:23" s="79" customFormat="1" ht="102" x14ac:dyDescent="0.2">
      <c r="A201" s="1" t="s">
        <v>72</v>
      </c>
      <c r="B201" s="2" t="s">
        <v>38</v>
      </c>
      <c r="C201" s="2" t="s">
        <v>73</v>
      </c>
      <c r="D201" s="2" t="s">
        <v>74</v>
      </c>
      <c r="E201" s="2">
        <v>2022</v>
      </c>
      <c r="F201" s="2" t="s">
        <v>1776</v>
      </c>
      <c r="G201" s="2" t="s">
        <v>3095</v>
      </c>
      <c r="H201" s="2" t="s">
        <v>3092</v>
      </c>
      <c r="I201" s="1" t="s">
        <v>14</v>
      </c>
      <c r="J201" s="1" t="s">
        <v>3330</v>
      </c>
      <c r="K201" s="17"/>
      <c r="L201" s="54">
        <v>0.4148</v>
      </c>
      <c r="M201" s="39"/>
      <c r="N201" s="39"/>
      <c r="O201" s="39">
        <f>6595*6%</f>
        <v>395.7</v>
      </c>
      <c r="P201" s="39"/>
      <c r="Q201" s="39"/>
      <c r="R201" s="39"/>
      <c r="S201" s="39"/>
      <c r="T201" s="39">
        <f>903*6%</f>
        <v>54.18</v>
      </c>
      <c r="U201" s="39"/>
      <c r="V201" s="39"/>
      <c r="W201" s="60" t="s">
        <v>1748</v>
      </c>
    </row>
    <row r="202" spans="1:23" s="79" customFormat="1" ht="89.25" x14ac:dyDescent="0.2">
      <c r="A202" s="1" t="s">
        <v>72</v>
      </c>
      <c r="B202" s="2" t="s">
        <v>38</v>
      </c>
      <c r="C202" s="2" t="s">
        <v>73</v>
      </c>
      <c r="D202" s="2" t="s">
        <v>74</v>
      </c>
      <c r="E202" s="2">
        <v>2022</v>
      </c>
      <c r="F202" s="2" t="s">
        <v>1779</v>
      </c>
      <c r="G202" s="2" t="s">
        <v>3095</v>
      </c>
      <c r="H202" s="2" t="s">
        <v>3092</v>
      </c>
      <c r="I202" s="1" t="s">
        <v>14</v>
      </c>
      <c r="J202" s="1" t="s">
        <v>3331</v>
      </c>
      <c r="K202" s="17"/>
      <c r="L202" s="54">
        <v>0.42899999999999999</v>
      </c>
      <c r="M202" s="39"/>
      <c r="N202" s="39"/>
      <c r="O202" s="39">
        <f>6270*6%</f>
        <v>376.2</v>
      </c>
      <c r="P202" s="39"/>
      <c r="Q202" s="39"/>
      <c r="R202" s="39"/>
      <c r="S202" s="39"/>
      <c r="T202" s="39">
        <f>1100*6%</f>
        <v>66</v>
      </c>
      <c r="U202" s="39"/>
      <c r="V202" s="39"/>
      <c r="W202" s="60" t="s">
        <v>1748</v>
      </c>
    </row>
    <row r="203" spans="1:23" s="79" customFormat="1" ht="102" x14ac:dyDescent="0.2">
      <c r="A203" s="1" t="s">
        <v>72</v>
      </c>
      <c r="B203" s="2" t="s">
        <v>38</v>
      </c>
      <c r="C203" s="2" t="s">
        <v>73</v>
      </c>
      <c r="D203" s="2" t="s">
        <v>74</v>
      </c>
      <c r="E203" s="2">
        <v>2022</v>
      </c>
      <c r="F203" s="2" t="s">
        <v>1781</v>
      </c>
      <c r="G203" s="2" t="s">
        <v>3095</v>
      </c>
      <c r="H203" s="2" t="s">
        <v>3092</v>
      </c>
      <c r="I203" s="1" t="s">
        <v>14</v>
      </c>
      <c r="J203" s="1" t="s">
        <v>3332</v>
      </c>
      <c r="K203" s="17"/>
      <c r="L203" s="54">
        <v>0.43380000000000002</v>
      </c>
      <c r="M203" s="39"/>
      <c r="N203" s="39"/>
      <c r="O203" s="39">
        <f>3552*6%</f>
        <v>213.12</v>
      </c>
      <c r="P203" s="39"/>
      <c r="Q203" s="39"/>
      <c r="R203" s="39"/>
      <c r="S203" s="39"/>
      <c r="T203" s="39">
        <f>4094*6%</f>
        <v>245.64</v>
      </c>
      <c r="U203" s="39"/>
      <c r="V203" s="39"/>
      <c r="W203" s="60" t="s">
        <v>1748</v>
      </c>
    </row>
    <row r="204" spans="1:23" s="79" customFormat="1" ht="89.25" x14ac:dyDescent="0.2">
      <c r="A204" s="1" t="s">
        <v>72</v>
      </c>
      <c r="B204" s="2" t="s">
        <v>38</v>
      </c>
      <c r="C204" s="2" t="s">
        <v>73</v>
      </c>
      <c r="D204" s="2" t="s">
        <v>74</v>
      </c>
      <c r="E204" s="2">
        <v>2022</v>
      </c>
      <c r="F204" s="2" t="s">
        <v>1783</v>
      </c>
      <c r="G204" s="2" t="s">
        <v>3095</v>
      </c>
      <c r="H204" s="2" t="s">
        <v>3092</v>
      </c>
      <c r="I204" s="1" t="s">
        <v>14</v>
      </c>
      <c r="J204" s="1" t="s">
        <v>3333</v>
      </c>
      <c r="K204" s="17"/>
      <c r="L204" s="54">
        <v>0.43469999999999998</v>
      </c>
      <c r="M204" s="39"/>
      <c r="N204" s="39"/>
      <c r="O204" s="39">
        <f>186*6%</f>
        <v>11.16</v>
      </c>
      <c r="P204" s="39"/>
      <c r="Q204" s="39"/>
      <c r="R204" s="39"/>
      <c r="S204" s="39"/>
      <c r="T204" s="39">
        <f>6528*6%</f>
        <v>391.68</v>
      </c>
      <c r="U204" s="39"/>
      <c r="V204" s="39"/>
      <c r="W204" s="60" t="s">
        <v>1748</v>
      </c>
    </row>
    <row r="205" spans="1:23" s="79" customFormat="1" ht="102" x14ac:dyDescent="0.2">
      <c r="A205" s="1" t="s">
        <v>72</v>
      </c>
      <c r="B205" s="2" t="s">
        <v>38</v>
      </c>
      <c r="C205" s="2" t="s">
        <v>73</v>
      </c>
      <c r="D205" s="2" t="s">
        <v>74</v>
      </c>
      <c r="E205" s="2">
        <v>2022</v>
      </c>
      <c r="F205" s="2" t="s">
        <v>1785</v>
      </c>
      <c r="G205" s="2" t="s">
        <v>3095</v>
      </c>
      <c r="H205" s="2" t="s">
        <v>3092</v>
      </c>
      <c r="I205" s="1" t="s">
        <v>14</v>
      </c>
      <c r="J205" s="1" t="s">
        <v>3334</v>
      </c>
      <c r="K205" s="17"/>
      <c r="L205" s="54">
        <v>0.40760000000000002</v>
      </c>
      <c r="M205" s="39"/>
      <c r="N205" s="39"/>
      <c r="O205" s="39">
        <f>1925*6%</f>
        <v>115.5</v>
      </c>
      <c r="P205" s="39"/>
      <c r="Q205" s="39"/>
      <c r="R205" s="39"/>
      <c r="S205" s="39"/>
      <c r="T205" s="39">
        <f>5099*6%</f>
        <v>305.94</v>
      </c>
      <c r="U205" s="39"/>
      <c r="V205" s="39"/>
      <c r="W205" s="60" t="s">
        <v>1748</v>
      </c>
    </row>
    <row r="206" spans="1:23" s="79" customFormat="1" ht="102" x14ac:dyDescent="0.2">
      <c r="A206" s="1" t="s">
        <v>72</v>
      </c>
      <c r="B206" s="2" t="s">
        <v>38</v>
      </c>
      <c r="C206" s="2" t="s">
        <v>73</v>
      </c>
      <c r="D206" s="2" t="s">
        <v>74</v>
      </c>
      <c r="E206" s="2">
        <v>2022</v>
      </c>
      <c r="F206" s="2" t="s">
        <v>1787</v>
      </c>
      <c r="G206" s="2" t="s">
        <v>3095</v>
      </c>
      <c r="H206" s="2" t="s">
        <v>3092</v>
      </c>
      <c r="I206" s="1" t="s">
        <v>14</v>
      </c>
      <c r="J206" s="1" t="s">
        <v>3335</v>
      </c>
      <c r="K206" s="17"/>
      <c r="L206" s="54">
        <v>0.4042</v>
      </c>
      <c r="M206" s="39"/>
      <c r="N206" s="39"/>
      <c r="O206" s="39">
        <f>2168*6%</f>
        <v>130.07999999999998</v>
      </c>
      <c r="P206" s="39"/>
      <c r="Q206" s="39"/>
      <c r="R206" s="39"/>
      <c r="S206" s="39">
        <f>113*6%</f>
        <v>6.7799999999999994</v>
      </c>
      <c r="T206" s="39">
        <f>4011*6%</f>
        <v>240.66</v>
      </c>
      <c r="U206" s="39"/>
      <c r="V206" s="39"/>
      <c r="W206" s="60" t="s">
        <v>1748</v>
      </c>
    </row>
    <row r="207" spans="1:23" s="79" customFormat="1" ht="89.25" x14ac:dyDescent="0.2">
      <c r="A207" s="1" t="s">
        <v>72</v>
      </c>
      <c r="B207" s="2" t="s">
        <v>38</v>
      </c>
      <c r="C207" s="2" t="s">
        <v>73</v>
      </c>
      <c r="D207" s="2" t="s">
        <v>74</v>
      </c>
      <c r="E207" s="2">
        <v>2022</v>
      </c>
      <c r="F207" s="2" t="s">
        <v>1789</v>
      </c>
      <c r="G207" s="2" t="s">
        <v>3095</v>
      </c>
      <c r="H207" s="2" t="s">
        <v>3092</v>
      </c>
      <c r="I207" s="1" t="s">
        <v>14</v>
      </c>
      <c r="J207" s="1" t="s">
        <v>3336</v>
      </c>
      <c r="K207" s="17"/>
      <c r="L207" s="54">
        <v>0.41899999999999998</v>
      </c>
      <c r="M207" s="39"/>
      <c r="N207" s="39"/>
      <c r="O207" s="39">
        <f>4387*6%</f>
        <v>263.21999999999997</v>
      </c>
      <c r="P207" s="39"/>
      <c r="Q207" s="39"/>
      <c r="R207" s="39"/>
      <c r="S207" s="39"/>
      <c r="T207" s="39">
        <f>2268*6%</f>
        <v>136.07999999999998</v>
      </c>
      <c r="U207" s="39"/>
      <c r="V207" s="39"/>
      <c r="W207" s="60" t="s">
        <v>1748</v>
      </c>
    </row>
    <row r="208" spans="1:23" s="79" customFormat="1" ht="63.75" x14ac:dyDescent="0.2">
      <c r="A208" s="1" t="s">
        <v>72</v>
      </c>
      <c r="B208" s="2" t="s">
        <v>38</v>
      </c>
      <c r="C208" s="2" t="s">
        <v>73</v>
      </c>
      <c r="D208" s="2" t="s">
        <v>74</v>
      </c>
      <c r="E208" s="2">
        <v>2022</v>
      </c>
      <c r="F208" s="2" t="s">
        <v>1791</v>
      </c>
      <c r="G208" s="2" t="s">
        <v>3095</v>
      </c>
      <c r="H208" s="2" t="s">
        <v>3092</v>
      </c>
      <c r="I208" s="1" t="s">
        <v>14</v>
      </c>
      <c r="J208" s="1" t="s">
        <v>3337</v>
      </c>
      <c r="K208" s="17"/>
      <c r="L208" s="54">
        <v>0.439</v>
      </c>
      <c r="M208" s="39"/>
      <c r="N208" s="39"/>
      <c r="O208" s="39">
        <f>2959*6%</f>
        <v>177.54</v>
      </c>
      <c r="P208" s="39"/>
      <c r="Q208" s="39"/>
      <c r="R208" s="39"/>
      <c r="S208" s="39"/>
      <c r="T208" s="39">
        <f>3756*6%</f>
        <v>225.35999999999999</v>
      </c>
      <c r="U208" s="39"/>
      <c r="V208" s="39"/>
      <c r="W208" s="60" t="s">
        <v>1748</v>
      </c>
    </row>
    <row r="209" spans="1:23" s="79" customFormat="1" ht="89.25" x14ac:dyDescent="0.2">
      <c r="A209" s="1" t="s">
        <v>72</v>
      </c>
      <c r="B209" s="2" t="s">
        <v>38</v>
      </c>
      <c r="C209" s="2" t="s">
        <v>73</v>
      </c>
      <c r="D209" s="2" t="s">
        <v>74</v>
      </c>
      <c r="E209" s="2">
        <v>2022</v>
      </c>
      <c r="F209" s="2" t="s">
        <v>311</v>
      </c>
      <c r="G209" s="2" t="s">
        <v>3095</v>
      </c>
      <c r="H209" s="2" t="s">
        <v>3092</v>
      </c>
      <c r="I209" s="1" t="s">
        <v>14</v>
      </c>
      <c r="J209" s="1" t="s">
        <v>3338</v>
      </c>
      <c r="K209" s="17"/>
      <c r="L209" s="54">
        <v>0.43709999999999999</v>
      </c>
      <c r="M209" s="39"/>
      <c r="N209" s="39"/>
      <c r="O209" s="39">
        <f>2792*6%</f>
        <v>167.51999999999998</v>
      </c>
      <c r="P209" s="39"/>
      <c r="Q209" s="39"/>
      <c r="R209" s="39"/>
      <c r="S209" s="39"/>
      <c r="T209" s="39">
        <f>3067*6%</f>
        <v>184.01999999999998</v>
      </c>
      <c r="U209" s="39"/>
      <c r="V209" s="39"/>
      <c r="W209" s="60" t="s">
        <v>1748</v>
      </c>
    </row>
    <row r="210" spans="1:23" s="79" customFormat="1" ht="89.25" x14ac:dyDescent="0.2">
      <c r="A210" s="1" t="s">
        <v>72</v>
      </c>
      <c r="B210" s="2" t="s">
        <v>38</v>
      </c>
      <c r="C210" s="2" t="s">
        <v>73</v>
      </c>
      <c r="D210" s="2" t="s">
        <v>74</v>
      </c>
      <c r="E210" s="2">
        <v>2022</v>
      </c>
      <c r="F210" s="2" t="s">
        <v>1794</v>
      </c>
      <c r="G210" s="2" t="s">
        <v>3095</v>
      </c>
      <c r="H210" s="2" t="s">
        <v>3092</v>
      </c>
      <c r="I210" s="1" t="s">
        <v>14</v>
      </c>
      <c r="J210" s="1" t="s">
        <v>3339</v>
      </c>
      <c r="K210" s="17"/>
      <c r="L210" s="54">
        <v>0.42199999999999999</v>
      </c>
      <c r="M210" s="39"/>
      <c r="N210" s="39"/>
      <c r="O210" s="39">
        <f>2923*6%</f>
        <v>175.38</v>
      </c>
      <c r="P210" s="39"/>
      <c r="Q210" s="39"/>
      <c r="R210" s="39"/>
      <c r="S210" s="39"/>
      <c r="T210" s="39">
        <f>4146*6%</f>
        <v>248.76</v>
      </c>
      <c r="U210" s="39"/>
      <c r="V210" s="39"/>
      <c r="W210" s="60" t="s">
        <v>1748</v>
      </c>
    </row>
    <row r="211" spans="1:23" s="79" customFormat="1" ht="63.75" x14ac:dyDescent="0.2">
      <c r="A211" s="1" t="s">
        <v>72</v>
      </c>
      <c r="B211" s="2" t="s">
        <v>38</v>
      </c>
      <c r="C211" s="2" t="s">
        <v>73</v>
      </c>
      <c r="D211" s="2" t="s">
        <v>74</v>
      </c>
      <c r="E211" s="2">
        <v>2022</v>
      </c>
      <c r="F211" s="2" t="s">
        <v>1796</v>
      </c>
      <c r="G211" s="2" t="s">
        <v>3095</v>
      </c>
      <c r="H211" s="2" t="s">
        <v>3092</v>
      </c>
      <c r="I211" s="1" t="s">
        <v>14</v>
      </c>
      <c r="J211" s="1" t="s">
        <v>3340</v>
      </c>
      <c r="K211" s="17"/>
      <c r="L211" s="54">
        <v>0.42099999999999999</v>
      </c>
      <c r="M211" s="39"/>
      <c r="N211" s="39"/>
      <c r="O211" s="39">
        <f>1528*6%</f>
        <v>91.679999999999993</v>
      </c>
      <c r="P211" s="39"/>
      <c r="Q211" s="39"/>
      <c r="R211" s="39"/>
      <c r="S211" s="39"/>
      <c r="T211" s="39">
        <f>5826*6%</f>
        <v>349.56</v>
      </c>
      <c r="U211" s="39"/>
      <c r="V211" s="39"/>
      <c r="W211" s="60" t="s">
        <v>1748</v>
      </c>
    </row>
    <row r="212" spans="1:23" s="79" customFormat="1" ht="127.5" x14ac:dyDescent="0.2">
      <c r="A212" s="1" t="s">
        <v>72</v>
      </c>
      <c r="B212" s="2" t="s">
        <v>38</v>
      </c>
      <c r="C212" s="2" t="s">
        <v>73</v>
      </c>
      <c r="D212" s="2" t="s">
        <v>74</v>
      </c>
      <c r="E212" s="2">
        <v>2022</v>
      </c>
      <c r="F212" s="2" t="s">
        <v>1798</v>
      </c>
      <c r="G212" s="2" t="s">
        <v>3095</v>
      </c>
      <c r="H212" s="2" t="s">
        <v>3092</v>
      </c>
      <c r="I212" s="1" t="s">
        <v>14</v>
      </c>
      <c r="J212" s="1" t="s">
        <v>3341</v>
      </c>
      <c r="K212" s="17"/>
      <c r="L212" s="54">
        <v>0.43</v>
      </c>
      <c r="M212" s="39"/>
      <c r="N212" s="39"/>
      <c r="O212" s="39">
        <f>1708*6%</f>
        <v>102.47999999999999</v>
      </c>
      <c r="P212" s="39"/>
      <c r="Q212" s="39"/>
      <c r="R212" s="39"/>
      <c r="S212" s="39">
        <f>194*6%</f>
        <v>11.639999999999999</v>
      </c>
      <c r="T212" s="39">
        <f>3817*6%</f>
        <v>229.01999999999998</v>
      </c>
      <c r="U212" s="39"/>
      <c r="V212" s="39"/>
      <c r="W212" s="60" t="s">
        <v>1748</v>
      </c>
    </row>
    <row r="213" spans="1:23" s="79" customFormat="1" ht="25.5" x14ac:dyDescent="0.2">
      <c r="A213" s="1" t="s">
        <v>428</v>
      </c>
      <c r="B213" s="2" t="s">
        <v>196</v>
      </c>
      <c r="C213" s="2" t="s">
        <v>429</v>
      </c>
      <c r="D213" s="2" t="s">
        <v>33</v>
      </c>
      <c r="E213" s="2">
        <v>2022</v>
      </c>
      <c r="F213" s="2" t="s">
        <v>1791</v>
      </c>
      <c r="G213" s="2" t="s">
        <v>3092</v>
      </c>
      <c r="H213" s="2" t="s">
        <v>3092</v>
      </c>
      <c r="I213" s="1" t="s">
        <v>3342</v>
      </c>
      <c r="J213" s="1" t="s">
        <v>3343</v>
      </c>
      <c r="K213" s="17"/>
      <c r="L213" s="54"/>
      <c r="M213" s="39"/>
      <c r="N213" s="39"/>
      <c r="O213" s="39"/>
      <c r="P213" s="39"/>
      <c r="Q213" s="39"/>
      <c r="R213" s="39"/>
      <c r="S213" s="39"/>
      <c r="T213" s="39"/>
      <c r="U213" s="39"/>
      <c r="V213" s="39"/>
      <c r="W213" s="60" t="s">
        <v>3344</v>
      </c>
    </row>
    <row r="214" spans="1:23" s="79" customFormat="1" ht="267.75" x14ac:dyDescent="0.2">
      <c r="A214" s="1" t="s">
        <v>428</v>
      </c>
      <c r="B214" s="2" t="s">
        <v>196</v>
      </c>
      <c r="C214" s="2" t="s">
        <v>429</v>
      </c>
      <c r="D214" s="2" t="s">
        <v>33</v>
      </c>
      <c r="E214" s="2">
        <v>2022</v>
      </c>
      <c r="F214" s="2" t="s">
        <v>311</v>
      </c>
      <c r="G214" s="2" t="s">
        <v>3092</v>
      </c>
      <c r="H214" s="2" t="s">
        <v>3092</v>
      </c>
      <c r="I214" s="1" t="s">
        <v>3345</v>
      </c>
      <c r="J214" s="1" t="s">
        <v>3346</v>
      </c>
      <c r="K214" s="17"/>
      <c r="L214" s="54">
        <v>0.23469999999999999</v>
      </c>
      <c r="M214" s="39"/>
      <c r="N214" s="39"/>
      <c r="O214" s="39">
        <v>3275</v>
      </c>
      <c r="P214" s="39"/>
      <c r="Q214" s="39"/>
      <c r="R214" s="39"/>
      <c r="S214" s="39"/>
      <c r="T214" s="39"/>
      <c r="U214" s="39"/>
      <c r="V214" s="39"/>
      <c r="W214" s="60"/>
    </row>
    <row r="215" spans="1:23" s="79" customFormat="1" ht="25.5" x14ac:dyDescent="0.2">
      <c r="A215" s="1" t="s">
        <v>385</v>
      </c>
      <c r="B215" s="2" t="s">
        <v>386</v>
      </c>
      <c r="C215" s="2" t="s">
        <v>387</v>
      </c>
      <c r="D215" s="2" t="s">
        <v>246</v>
      </c>
      <c r="E215" s="2">
        <v>2022</v>
      </c>
      <c r="F215" s="2" t="s">
        <v>1794</v>
      </c>
      <c r="G215" s="2" t="s">
        <v>3092</v>
      </c>
      <c r="H215" s="2" t="s">
        <v>3092</v>
      </c>
      <c r="I215" s="1" t="s">
        <v>3347</v>
      </c>
      <c r="J215" s="1" t="s">
        <v>3348</v>
      </c>
      <c r="K215" s="17"/>
      <c r="L215" s="54"/>
      <c r="M215" s="39"/>
      <c r="N215" s="39"/>
      <c r="O215" s="39"/>
      <c r="P215" s="39"/>
      <c r="Q215" s="39"/>
      <c r="R215" s="39"/>
      <c r="S215" s="39"/>
      <c r="T215" s="39"/>
      <c r="U215" s="39"/>
      <c r="V215" s="39"/>
      <c r="W215" s="60" t="s">
        <v>3349</v>
      </c>
    </row>
    <row r="216" spans="1:23" s="79" customFormat="1" ht="51" x14ac:dyDescent="0.2">
      <c r="A216" s="1" t="s">
        <v>385</v>
      </c>
      <c r="B216" s="2" t="s">
        <v>386</v>
      </c>
      <c r="C216" s="2" t="s">
        <v>387</v>
      </c>
      <c r="D216" s="2" t="s">
        <v>246</v>
      </c>
      <c r="E216" s="2">
        <v>2022</v>
      </c>
      <c r="F216" s="2" t="s">
        <v>1796</v>
      </c>
      <c r="G216" s="2" t="s">
        <v>3092</v>
      </c>
      <c r="H216" s="2" t="s">
        <v>3092</v>
      </c>
      <c r="I216" s="1" t="s">
        <v>3350</v>
      </c>
      <c r="J216" s="1" t="s">
        <v>3351</v>
      </c>
      <c r="K216" s="17"/>
      <c r="L216" s="54">
        <v>4.3999999999999997E-2</v>
      </c>
      <c r="M216" s="39"/>
      <c r="N216" s="3"/>
      <c r="O216" s="39"/>
      <c r="P216" s="39"/>
      <c r="Q216" s="39"/>
      <c r="R216" s="39"/>
      <c r="S216" s="39"/>
      <c r="T216" s="39"/>
      <c r="U216" s="39"/>
      <c r="V216" s="39">
        <v>34</v>
      </c>
      <c r="W216" s="60" t="s">
        <v>3352</v>
      </c>
    </row>
    <row r="217" spans="1:23" s="79" customFormat="1" ht="51" x14ac:dyDescent="0.2">
      <c r="A217" s="1" t="s">
        <v>119</v>
      </c>
      <c r="B217" s="2" t="s">
        <v>48</v>
      </c>
      <c r="C217" s="2" t="s">
        <v>120</v>
      </c>
      <c r="D217" s="2" t="s">
        <v>121</v>
      </c>
      <c r="E217" s="2">
        <v>2022</v>
      </c>
      <c r="F217" s="2" t="s">
        <v>1776</v>
      </c>
      <c r="G217" s="2" t="s">
        <v>3095</v>
      </c>
      <c r="H217" s="2" t="s">
        <v>3092</v>
      </c>
      <c r="I217" s="1" t="s">
        <v>14</v>
      </c>
      <c r="J217" s="1" t="s">
        <v>3353</v>
      </c>
      <c r="K217" s="17"/>
      <c r="L217" s="54">
        <v>0.222</v>
      </c>
      <c r="M217" s="39"/>
      <c r="N217" s="39"/>
      <c r="O217" s="39"/>
      <c r="P217" s="39"/>
      <c r="Q217" s="39"/>
      <c r="R217" s="39">
        <v>92.7</v>
      </c>
      <c r="S217" s="39"/>
      <c r="T217" s="39"/>
      <c r="U217" s="39"/>
      <c r="V217" s="39"/>
      <c r="W217" s="60"/>
    </row>
    <row r="218" spans="1:23" s="79" customFormat="1" ht="51" x14ac:dyDescent="0.2">
      <c r="A218" s="1" t="s">
        <v>119</v>
      </c>
      <c r="B218" s="2" t="s">
        <v>48</v>
      </c>
      <c r="C218" s="2" t="s">
        <v>120</v>
      </c>
      <c r="D218" s="2" t="s">
        <v>121</v>
      </c>
      <c r="E218" s="2">
        <v>2022</v>
      </c>
      <c r="F218" s="2" t="s">
        <v>1779</v>
      </c>
      <c r="G218" s="2" t="s">
        <v>3095</v>
      </c>
      <c r="H218" s="2" t="s">
        <v>3092</v>
      </c>
      <c r="I218" s="1" t="s">
        <v>14</v>
      </c>
      <c r="J218" s="1" t="s">
        <v>3354</v>
      </c>
      <c r="K218" s="17"/>
      <c r="L218" s="54">
        <v>0.217</v>
      </c>
      <c r="M218" s="39"/>
      <c r="N218" s="39"/>
      <c r="O218" s="39"/>
      <c r="P218" s="39"/>
      <c r="Q218" s="39"/>
      <c r="R218" s="39">
        <v>89</v>
      </c>
      <c r="S218" s="39"/>
      <c r="T218" s="39"/>
      <c r="U218" s="39"/>
      <c r="V218" s="39"/>
      <c r="W218" s="60"/>
    </row>
    <row r="219" spans="1:23" s="79" customFormat="1" ht="51" x14ac:dyDescent="0.2">
      <c r="A219" s="1" t="s">
        <v>119</v>
      </c>
      <c r="B219" s="2" t="s">
        <v>48</v>
      </c>
      <c r="C219" s="2" t="s">
        <v>120</v>
      </c>
      <c r="D219" s="2" t="s">
        <v>121</v>
      </c>
      <c r="E219" s="2">
        <v>2022</v>
      </c>
      <c r="F219" s="2" t="s">
        <v>1781</v>
      </c>
      <c r="G219" s="2" t="s">
        <v>3095</v>
      </c>
      <c r="H219" s="2" t="s">
        <v>3092</v>
      </c>
      <c r="I219" s="1" t="s">
        <v>14</v>
      </c>
      <c r="J219" s="1" t="s">
        <v>3355</v>
      </c>
      <c r="K219" s="17"/>
      <c r="L219" s="54">
        <v>0.218</v>
      </c>
      <c r="M219" s="39"/>
      <c r="N219" s="39"/>
      <c r="O219" s="39"/>
      <c r="P219" s="39"/>
      <c r="Q219" s="39"/>
      <c r="R219" s="39">
        <v>132</v>
      </c>
      <c r="S219" s="39"/>
      <c r="T219" s="39"/>
      <c r="U219" s="39"/>
      <c r="V219" s="39"/>
      <c r="W219" s="60"/>
    </row>
    <row r="220" spans="1:23" s="79" customFormat="1" ht="51" x14ac:dyDescent="0.2">
      <c r="A220" s="1" t="s">
        <v>119</v>
      </c>
      <c r="B220" s="2" t="s">
        <v>48</v>
      </c>
      <c r="C220" s="2" t="s">
        <v>120</v>
      </c>
      <c r="D220" s="2" t="s">
        <v>121</v>
      </c>
      <c r="E220" s="2">
        <v>2022</v>
      </c>
      <c r="F220" s="2" t="s">
        <v>1783</v>
      </c>
      <c r="G220" s="2" t="s">
        <v>3095</v>
      </c>
      <c r="H220" s="2" t="s">
        <v>3092</v>
      </c>
      <c r="I220" s="1" t="s">
        <v>14</v>
      </c>
      <c r="J220" s="1" t="s">
        <v>3356</v>
      </c>
      <c r="K220" s="17"/>
      <c r="L220" s="54">
        <v>0.23400000000000001</v>
      </c>
      <c r="M220" s="39"/>
      <c r="N220" s="39"/>
      <c r="O220" s="39"/>
      <c r="P220" s="39"/>
      <c r="Q220" s="39"/>
      <c r="R220" s="39">
        <v>85.9</v>
      </c>
      <c r="S220" s="39"/>
      <c r="T220" s="39"/>
      <c r="U220" s="39"/>
      <c r="V220" s="39"/>
      <c r="W220" s="60"/>
    </row>
    <row r="221" spans="1:23" s="79" customFormat="1" ht="63.75" x14ac:dyDescent="0.2">
      <c r="A221" s="1" t="s">
        <v>119</v>
      </c>
      <c r="B221" s="2" t="s">
        <v>48</v>
      </c>
      <c r="C221" s="2" t="s">
        <v>120</v>
      </c>
      <c r="D221" s="2" t="s">
        <v>121</v>
      </c>
      <c r="E221" s="2">
        <v>2022</v>
      </c>
      <c r="F221" s="2" t="s">
        <v>1785</v>
      </c>
      <c r="G221" s="2" t="s">
        <v>3095</v>
      </c>
      <c r="H221" s="2" t="s">
        <v>3092</v>
      </c>
      <c r="I221" s="1" t="s">
        <v>14</v>
      </c>
      <c r="J221" s="1" t="s">
        <v>3357</v>
      </c>
      <c r="K221" s="17"/>
      <c r="L221" s="54">
        <v>0.23400000000000001</v>
      </c>
      <c r="M221" s="39"/>
      <c r="N221" s="39"/>
      <c r="O221" s="39"/>
      <c r="P221" s="39"/>
      <c r="Q221" s="39"/>
      <c r="R221" s="39">
        <v>101</v>
      </c>
      <c r="S221" s="39"/>
      <c r="T221" s="39"/>
      <c r="U221" s="39"/>
      <c r="V221" s="39"/>
      <c r="W221" s="60"/>
    </row>
    <row r="222" spans="1:23" s="79" customFormat="1" ht="51" x14ac:dyDescent="0.2">
      <c r="A222" s="1" t="s">
        <v>119</v>
      </c>
      <c r="B222" s="2" t="s">
        <v>48</v>
      </c>
      <c r="C222" s="2" t="s">
        <v>120</v>
      </c>
      <c r="D222" s="2" t="s">
        <v>121</v>
      </c>
      <c r="E222" s="2">
        <v>2022</v>
      </c>
      <c r="F222" s="2" t="s">
        <v>1787</v>
      </c>
      <c r="G222" s="2" t="s">
        <v>3095</v>
      </c>
      <c r="H222" s="2" t="s">
        <v>3092</v>
      </c>
      <c r="I222" s="1" t="s">
        <v>14</v>
      </c>
      <c r="J222" s="1" t="s">
        <v>3358</v>
      </c>
      <c r="K222" s="17"/>
      <c r="L222" s="54">
        <v>0.23699999999999999</v>
      </c>
      <c r="M222" s="39"/>
      <c r="N222" s="39"/>
      <c r="O222" s="39"/>
      <c r="P222" s="39"/>
      <c r="Q222" s="39"/>
      <c r="R222" s="39">
        <v>106</v>
      </c>
      <c r="S222" s="39"/>
      <c r="T222" s="39"/>
      <c r="U222" s="39"/>
      <c r="V222" s="39"/>
      <c r="W222" s="60"/>
    </row>
    <row r="223" spans="1:23" s="79" customFormat="1" ht="51" x14ac:dyDescent="0.2">
      <c r="A223" s="1" t="s">
        <v>119</v>
      </c>
      <c r="B223" s="2" t="s">
        <v>48</v>
      </c>
      <c r="C223" s="2" t="s">
        <v>120</v>
      </c>
      <c r="D223" s="2" t="s">
        <v>121</v>
      </c>
      <c r="E223" s="2">
        <v>2022</v>
      </c>
      <c r="F223" s="2" t="s">
        <v>1789</v>
      </c>
      <c r="G223" s="2" t="s">
        <v>3095</v>
      </c>
      <c r="H223" s="2" t="s">
        <v>3092</v>
      </c>
      <c r="I223" s="1" t="s">
        <v>14</v>
      </c>
      <c r="J223" s="1" t="s">
        <v>3359</v>
      </c>
      <c r="K223" s="17"/>
      <c r="L223" s="54">
        <v>0.23499999999999999</v>
      </c>
      <c r="M223" s="39"/>
      <c r="N223" s="39"/>
      <c r="O223" s="39"/>
      <c r="P223" s="39"/>
      <c r="Q223" s="39"/>
      <c r="R223" s="39">
        <v>93.6</v>
      </c>
      <c r="S223" s="39"/>
      <c r="T223" s="39"/>
      <c r="U223" s="39"/>
      <c r="V223" s="39"/>
      <c r="W223" s="60"/>
    </row>
    <row r="224" spans="1:23" s="79" customFormat="1" ht="51" x14ac:dyDescent="0.2">
      <c r="A224" s="1" t="s">
        <v>119</v>
      </c>
      <c r="B224" s="2" t="s">
        <v>48</v>
      </c>
      <c r="C224" s="2" t="s">
        <v>120</v>
      </c>
      <c r="D224" s="2" t="s">
        <v>121</v>
      </c>
      <c r="E224" s="2">
        <v>2022</v>
      </c>
      <c r="F224" s="2" t="s">
        <v>1791</v>
      </c>
      <c r="G224" s="2" t="s">
        <v>3095</v>
      </c>
      <c r="H224" s="2" t="s">
        <v>3092</v>
      </c>
      <c r="I224" s="1" t="s">
        <v>14</v>
      </c>
      <c r="J224" s="1" t="s">
        <v>3360</v>
      </c>
      <c r="K224" s="17"/>
      <c r="L224" s="54">
        <v>0.222</v>
      </c>
      <c r="M224" s="39"/>
      <c r="N224" s="39"/>
      <c r="O224" s="39"/>
      <c r="P224" s="39"/>
      <c r="Q224" s="39"/>
      <c r="R224" s="39">
        <v>85.9</v>
      </c>
      <c r="S224" s="39"/>
      <c r="T224" s="39"/>
      <c r="U224" s="39"/>
      <c r="V224" s="39"/>
      <c r="W224" s="60"/>
    </row>
    <row r="225" spans="1:23" s="79" customFormat="1" ht="51" x14ac:dyDescent="0.2">
      <c r="A225" s="1" t="s">
        <v>119</v>
      </c>
      <c r="B225" s="2" t="s">
        <v>48</v>
      </c>
      <c r="C225" s="2" t="s">
        <v>120</v>
      </c>
      <c r="D225" s="2" t="s">
        <v>121</v>
      </c>
      <c r="E225" s="2">
        <v>2022</v>
      </c>
      <c r="F225" s="2" t="s">
        <v>311</v>
      </c>
      <c r="G225" s="2" t="s">
        <v>3095</v>
      </c>
      <c r="H225" s="2" t="s">
        <v>3092</v>
      </c>
      <c r="I225" s="1" t="s">
        <v>14</v>
      </c>
      <c r="J225" s="1" t="s">
        <v>3361</v>
      </c>
      <c r="K225" s="17"/>
      <c r="L225" s="54">
        <v>0.217</v>
      </c>
      <c r="M225" s="39"/>
      <c r="N225" s="39"/>
      <c r="O225" s="39"/>
      <c r="P225" s="39"/>
      <c r="Q225" s="39"/>
      <c r="R225" s="39">
        <v>84.7</v>
      </c>
      <c r="S225" s="39"/>
      <c r="T225" s="39"/>
      <c r="U225" s="39"/>
      <c r="V225" s="39"/>
      <c r="W225" s="60"/>
    </row>
    <row r="226" spans="1:23" s="79" customFormat="1" ht="63.75" x14ac:dyDescent="0.2">
      <c r="A226" s="1" t="s">
        <v>119</v>
      </c>
      <c r="B226" s="2" t="s">
        <v>48</v>
      </c>
      <c r="C226" s="2" t="s">
        <v>120</v>
      </c>
      <c r="D226" s="2" t="s">
        <v>121</v>
      </c>
      <c r="E226" s="2">
        <v>2022</v>
      </c>
      <c r="F226" s="2" t="s">
        <v>1794</v>
      </c>
      <c r="G226" s="2" t="s">
        <v>3095</v>
      </c>
      <c r="H226" s="2" t="s">
        <v>3092</v>
      </c>
      <c r="I226" s="1" t="s">
        <v>14</v>
      </c>
      <c r="J226" s="1" t="s">
        <v>3362</v>
      </c>
      <c r="K226" s="17"/>
      <c r="L226" s="54">
        <v>0.216</v>
      </c>
      <c r="M226" s="39"/>
      <c r="N226" s="39"/>
      <c r="O226" s="39"/>
      <c r="P226" s="39"/>
      <c r="Q226" s="39"/>
      <c r="R226" s="39">
        <v>86</v>
      </c>
      <c r="S226" s="39"/>
      <c r="T226" s="39"/>
      <c r="U226" s="39"/>
      <c r="V226" s="39"/>
      <c r="W226" s="60"/>
    </row>
    <row r="227" spans="1:23" s="79" customFormat="1" ht="51" x14ac:dyDescent="0.2">
      <c r="A227" s="1" t="s">
        <v>119</v>
      </c>
      <c r="B227" s="2" t="s">
        <v>48</v>
      </c>
      <c r="C227" s="2" t="s">
        <v>120</v>
      </c>
      <c r="D227" s="2" t="s">
        <v>121</v>
      </c>
      <c r="E227" s="2">
        <v>2022</v>
      </c>
      <c r="F227" s="2" t="s">
        <v>1796</v>
      </c>
      <c r="G227" s="2" t="s">
        <v>3095</v>
      </c>
      <c r="H227" s="2" t="s">
        <v>3092</v>
      </c>
      <c r="I227" s="1" t="s">
        <v>14</v>
      </c>
      <c r="J227" s="1" t="s">
        <v>3363</v>
      </c>
      <c r="K227" s="17"/>
      <c r="L227" s="54">
        <v>0.216</v>
      </c>
      <c r="M227" s="39"/>
      <c r="N227" s="39"/>
      <c r="O227" s="39"/>
      <c r="P227" s="39"/>
      <c r="Q227" s="39"/>
      <c r="R227" s="39">
        <v>117.6</v>
      </c>
      <c r="S227" s="39"/>
      <c r="T227" s="39"/>
      <c r="U227" s="39"/>
      <c r="V227" s="39"/>
      <c r="W227" s="60"/>
    </row>
    <row r="228" spans="1:23" s="79" customFormat="1" ht="51" x14ac:dyDescent="0.2">
      <c r="A228" s="1" t="s">
        <v>119</v>
      </c>
      <c r="B228" s="2" t="s">
        <v>48</v>
      </c>
      <c r="C228" s="2" t="s">
        <v>120</v>
      </c>
      <c r="D228" s="2" t="s">
        <v>121</v>
      </c>
      <c r="E228" s="2">
        <v>2022</v>
      </c>
      <c r="F228" s="2" t="s">
        <v>1798</v>
      </c>
      <c r="G228" s="2" t="s">
        <v>3095</v>
      </c>
      <c r="H228" s="2" t="s">
        <v>3092</v>
      </c>
      <c r="I228" s="1" t="s">
        <v>14</v>
      </c>
      <c r="J228" s="1" t="s">
        <v>3364</v>
      </c>
      <c r="K228" s="17"/>
      <c r="L228" s="54">
        <v>0.216</v>
      </c>
      <c r="M228" s="39"/>
      <c r="N228" s="39"/>
      <c r="O228" s="39"/>
      <c r="P228" s="39"/>
      <c r="Q228" s="39"/>
      <c r="R228" s="39">
        <v>114</v>
      </c>
      <c r="S228" s="39"/>
      <c r="T228" s="39"/>
      <c r="U228" s="39"/>
      <c r="V228" s="39"/>
      <c r="W228" s="60"/>
    </row>
    <row r="229" spans="1:23" s="79" customFormat="1" ht="89.25" x14ac:dyDescent="0.2">
      <c r="A229" s="1" t="s">
        <v>3365</v>
      </c>
      <c r="B229" s="2" t="s">
        <v>196</v>
      </c>
      <c r="C229" s="2" t="s">
        <v>3366</v>
      </c>
      <c r="D229" s="2" t="s">
        <v>170</v>
      </c>
      <c r="E229" s="2">
        <v>2022</v>
      </c>
      <c r="F229" s="2" t="s">
        <v>311</v>
      </c>
      <c r="G229" s="2" t="s">
        <v>3092</v>
      </c>
      <c r="H229" s="2" t="s">
        <v>3092</v>
      </c>
      <c r="I229" s="1" t="s">
        <v>3367</v>
      </c>
      <c r="J229" s="1" t="s">
        <v>3368</v>
      </c>
      <c r="K229" s="17"/>
      <c r="L229" s="80">
        <v>0.29799999999999999</v>
      </c>
      <c r="M229" s="15"/>
      <c r="N229" s="15"/>
      <c r="O229" s="15">
        <v>356.44</v>
      </c>
      <c r="P229" s="15"/>
      <c r="Q229" s="15"/>
      <c r="R229" s="15"/>
      <c r="S229" s="15"/>
      <c r="T229" s="15"/>
      <c r="U229" s="15"/>
      <c r="V229" s="15"/>
      <c r="W229" s="60"/>
    </row>
    <row r="230" spans="1:23" s="79" customFormat="1" ht="25.5" x14ac:dyDescent="0.2">
      <c r="A230" s="1" t="s">
        <v>174</v>
      </c>
      <c r="B230" s="2" t="s">
        <v>16</v>
      </c>
      <c r="C230" s="2" t="s">
        <v>175</v>
      </c>
      <c r="D230" s="2" t="s">
        <v>132</v>
      </c>
      <c r="E230" s="2">
        <v>2022</v>
      </c>
      <c r="F230" s="2" t="s">
        <v>1776</v>
      </c>
      <c r="G230" s="2" t="s">
        <v>3095</v>
      </c>
      <c r="H230" s="2" t="s">
        <v>3092</v>
      </c>
      <c r="I230" s="1" t="s">
        <v>14</v>
      </c>
      <c r="J230" s="1" t="s">
        <v>3369</v>
      </c>
      <c r="K230" s="17"/>
      <c r="L230" s="54">
        <v>0.24049999999999999</v>
      </c>
      <c r="M230" s="39"/>
      <c r="N230" s="39"/>
      <c r="O230" s="39"/>
      <c r="P230" s="39"/>
      <c r="Q230" s="39"/>
      <c r="R230" s="39"/>
      <c r="S230" s="39">
        <f>63.5*0.8</f>
        <v>50.800000000000004</v>
      </c>
      <c r="T230" s="39"/>
      <c r="U230" s="39"/>
      <c r="V230" s="39"/>
      <c r="W230" s="60" t="s">
        <v>1737</v>
      </c>
    </row>
    <row r="231" spans="1:23" s="79" customFormat="1" ht="25.5" x14ac:dyDescent="0.2">
      <c r="A231" s="1" t="s">
        <v>174</v>
      </c>
      <c r="B231" s="2" t="s">
        <v>16</v>
      </c>
      <c r="C231" s="2" t="s">
        <v>175</v>
      </c>
      <c r="D231" s="2" t="s">
        <v>132</v>
      </c>
      <c r="E231" s="2">
        <v>2022</v>
      </c>
      <c r="F231" s="2" t="s">
        <v>1779</v>
      </c>
      <c r="G231" s="2" t="s">
        <v>3095</v>
      </c>
      <c r="H231" s="2" t="s">
        <v>3092</v>
      </c>
      <c r="I231" s="1" t="s">
        <v>14</v>
      </c>
      <c r="J231" s="1" t="s">
        <v>3370</v>
      </c>
      <c r="K231" s="17"/>
      <c r="L231" s="54">
        <v>0.26169999999999999</v>
      </c>
      <c r="M231" s="39"/>
      <c r="N231" s="39"/>
      <c r="O231" s="39"/>
      <c r="P231" s="39"/>
      <c r="Q231" s="39"/>
      <c r="R231" s="39"/>
      <c r="S231" s="39">
        <f>49.5*0.8</f>
        <v>39.6</v>
      </c>
      <c r="T231" s="39"/>
      <c r="U231" s="39"/>
      <c r="V231" s="39"/>
      <c r="W231" s="60" t="s">
        <v>1737</v>
      </c>
    </row>
    <row r="232" spans="1:23" s="79" customFormat="1" ht="25.5" x14ac:dyDescent="0.2">
      <c r="A232" s="1" t="s">
        <v>174</v>
      </c>
      <c r="B232" s="2" t="s">
        <v>16</v>
      </c>
      <c r="C232" s="2" t="s">
        <v>175</v>
      </c>
      <c r="D232" s="2" t="s">
        <v>132</v>
      </c>
      <c r="E232" s="2">
        <v>2022</v>
      </c>
      <c r="F232" s="2" t="s">
        <v>1781</v>
      </c>
      <c r="G232" s="2" t="s">
        <v>3095</v>
      </c>
      <c r="H232" s="2" t="s">
        <v>3092</v>
      </c>
      <c r="I232" s="1" t="s">
        <v>14</v>
      </c>
      <c r="J232" s="1" t="s">
        <v>3371</v>
      </c>
      <c r="K232" s="17"/>
      <c r="L232" s="54">
        <v>0.27289999999999998</v>
      </c>
      <c r="M232" s="15"/>
      <c r="N232" s="15"/>
      <c r="O232" s="15"/>
      <c r="P232" s="15"/>
      <c r="Q232" s="15"/>
      <c r="R232" s="15"/>
      <c r="S232" s="15">
        <f>53.1*0.8</f>
        <v>42.480000000000004</v>
      </c>
      <c r="T232" s="15"/>
      <c r="U232" s="15"/>
      <c r="V232" s="15"/>
      <c r="W232" s="60" t="s">
        <v>1737</v>
      </c>
    </row>
    <row r="233" spans="1:23" s="79" customFormat="1" ht="25.5" x14ac:dyDescent="0.2">
      <c r="A233" s="1" t="s">
        <v>174</v>
      </c>
      <c r="B233" s="2" t="s">
        <v>16</v>
      </c>
      <c r="C233" s="2" t="s">
        <v>175</v>
      </c>
      <c r="D233" s="2" t="s">
        <v>132</v>
      </c>
      <c r="E233" s="2">
        <v>2022</v>
      </c>
      <c r="F233" s="2" t="s">
        <v>1783</v>
      </c>
      <c r="G233" s="2" t="s">
        <v>3095</v>
      </c>
      <c r="H233" s="2" t="s">
        <v>3092</v>
      </c>
      <c r="I233" s="1" t="s">
        <v>14</v>
      </c>
      <c r="J233" s="1" t="s">
        <v>3372</v>
      </c>
      <c r="K233" s="17"/>
      <c r="L233" s="54">
        <v>0.25430000000000003</v>
      </c>
      <c r="M233" s="39"/>
      <c r="N233" s="39"/>
      <c r="O233" s="39"/>
      <c r="P233" s="39"/>
      <c r="Q233" s="39"/>
      <c r="R233" s="39"/>
      <c r="S233" s="39">
        <f>47.9*0.8</f>
        <v>38.32</v>
      </c>
      <c r="T233" s="39"/>
      <c r="U233" s="39"/>
      <c r="V233" s="39"/>
      <c r="W233" s="60" t="s">
        <v>1737</v>
      </c>
    </row>
    <row r="234" spans="1:23" s="79" customFormat="1" ht="25.5" x14ac:dyDescent="0.2">
      <c r="A234" s="1" t="s">
        <v>174</v>
      </c>
      <c r="B234" s="2" t="s">
        <v>16</v>
      </c>
      <c r="C234" s="2" t="s">
        <v>175</v>
      </c>
      <c r="D234" s="2" t="s">
        <v>132</v>
      </c>
      <c r="E234" s="2">
        <v>2022</v>
      </c>
      <c r="F234" s="2" t="s">
        <v>1785</v>
      </c>
      <c r="G234" s="2" t="s">
        <v>3095</v>
      </c>
      <c r="H234" s="2" t="s">
        <v>3092</v>
      </c>
      <c r="I234" s="1" t="s">
        <v>14</v>
      </c>
      <c r="J234" s="1" t="s">
        <v>3373</v>
      </c>
      <c r="K234" s="17"/>
      <c r="L234" s="54">
        <v>0.2545</v>
      </c>
      <c r="M234" s="39"/>
      <c r="N234" s="39"/>
      <c r="O234" s="39"/>
      <c r="P234" s="39"/>
      <c r="Q234" s="39"/>
      <c r="R234" s="39"/>
      <c r="S234" s="39">
        <f>48.5*0.8</f>
        <v>38.800000000000004</v>
      </c>
      <c r="T234" s="39"/>
      <c r="U234" s="39"/>
      <c r="V234" s="39"/>
      <c r="W234" s="60" t="s">
        <v>1737</v>
      </c>
    </row>
    <row r="235" spans="1:23" s="79" customFormat="1" ht="25.5" x14ac:dyDescent="0.2">
      <c r="A235" s="1" t="s">
        <v>174</v>
      </c>
      <c r="B235" s="2" t="s">
        <v>16</v>
      </c>
      <c r="C235" s="2" t="s">
        <v>175</v>
      </c>
      <c r="D235" s="2" t="s">
        <v>132</v>
      </c>
      <c r="E235" s="2">
        <v>2022</v>
      </c>
      <c r="F235" s="2" t="s">
        <v>1787</v>
      </c>
      <c r="G235" s="2" t="s">
        <v>3095</v>
      </c>
      <c r="H235" s="2" t="s">
        <v>3092</v>
      </c>
      <c r="I235" s="1" t="s">
        <v>14</v>
      </c>
      <c r="J235" s="1" t="s">
        <v>3374</v>
      </c>
      <c r="K235" s="17"/>
      <c r="L235" s="54">
        <v>0.23749999999999999</v>
      </c>
      <c r="M235" s="39"/>
      <c r="N235" s="39"/>
      <c r="O235" s="39"/>
      <c r="P235" s="39"/>
      <c r="Q235" s="39"/>
      <c r="R235" s="39"/>
      <c r="S235" s="39">
        <f>66.6*0.8</f>
        <v>53.28</v>
      </c>
      <c r="T235" s="39"/>
      <c r="U235" s="39"/>
      <c r="V235" s="39"/>
      <c r="W235" s="60" t="s">
        <v>1737</v>
      </c>
    </row>
    <row r="236" spans="1:23" s="79" customFormat="1" ht="25.5" x14ac:dyDescent="0.2">
      <c r="A236" s="1" t="s">
        <v>174</v>
      </c>
      <c r="B236" s="2" t="s">
        <v>16</v>
      </c>
      <c r="C236" s="2" t="s">
        <v>175</v>
      </c>
      <c r="D236" s="2" t="s">
        <v>132</v>
      </c>
      <c r="E236" s="2">
        <v>2022</v>
      </c>
      <c r="F236" s="2" t="s">
        <v>1789</v>
      </c>
      <c r="G236" s="2" t="s">
        <v>3095</v>
      </c>
      <c r="H236" s="2" t="s">
        <v>3092</v>
      </c>
      <c r="I236" s="1" t="s">
        <v>14</v>
      </c>
      <c r="J236" s="1" t="s">
        <v>3375</v>
      </c>
      <c r="K236" s="17"/>
      <c r="L236" s="54">
        <v>0.28010000000000002</v>
      </c>
      <c r="M236" s="39"/>
      <c r="N236" s="39"/>
      <c r="O236" s="39"/>
      <c r="P236" s="39"/>
      <c r="Q236" s="39"/>
      <c r="R236" s="39"/>
      <c r="S236" s="39">
        <f>56.9*0.8</f>
        <v>45.52</v>
      </c>
      <c r="T236" s="39"/>
      <c r="U236" s="39"/>
      <c r="V236" s="39"/>
      <c r="W236" s="60" t="s">
        <v>1737</v>
      </c>
    </row>
    <row r="237" spans="1:23" s="79" customFormat="1" ht="25.5" x14ac:dyDescent="0.2">
      <c r="A237" s="1" t="s">
        <v>174</v>
      </c>
      <c r="B237" s="2" t="s">
        <v>16</v>
      </c>
      <c r="C237" s="2" t="s">
        <v>175</v>
      </c>
      <c r="D237" s="2" t="s">
        <v>132</v>
      </c>
      <c r="E237" s="2">
        <v>2022</v>
      </c>
      <c r="F237" s="2" t="s">
        <v>1791</v>
      </c>
      <c r="G237" s="2" t="s">
        <v>3095</v>
      </c>
      <c r="H237" s="2" t="s">
        <v>3092</v>
      </c>
      <c r="I237" s="1" t="s">
        <v>14</v>
      </c>
      <c r="J237" s="1" t="s">
        <v>3376</v>
      </c>
      <c r="K237" s="17"/>
      <c r="L237" s="54">
        <v>0.26369999999999999</v>
      </c>
      <c r="M237" s="39"/>
      <c r="N237" s="39"/>
      <c r="O237" s="39"/>
      <c r="P237" s="39"/>
      <c r="Q237" s="39"/>
      <c r="R237" s="39"/>
      <c r="S237" s="39">
        <f>70.5*0.8</f>
        <v>56.400000000000006</v>
      </c>
      <c r="T237" s="39"/>
      <c r="U237" s="39"/>
      <c r="V237" s="39"/>
      <c r="W237" s="60" t="s">
        <v>1737</v>
      </c>
    </row>
    <row r="238" spans="1:23" s="79" customFormat="1" ht="25.5" x14ac:dyDescent="0.2">
      <c r="A238" s="1" t="s">
        <v>174</v>
      </c>
      <c r="B238" s="2" t="s">
        <v>16</v>
      </c>
      <c r="C238" s="2" t="s">
        <v>175</v>
      </c>
      <c r="D238" s="2" t="s">
        <v>132</v>
      </c>
      <c r="E238" s="2">
        <v>2022</v>
      </c>
      <c r="F238" s="2" t="s">
        <v>311</v>
      </c>
      <c r="G238" s="2" t="s">
        <v>3095</v>
      </c>
      <c r="H238" s="2" t="s">
        <v>3092</v>
      </c>
      <c r="I238" s="1" t="s">
        <v>14</v>
      </c>
      <c r="J238" s="1" t="s">
        <v>3377</v>
      </c>
      <c r="K238" s="17"/>
      <c r="L238" s="54">
        <v>0.27350000000000002</v>
      </c>
      <c r="M238" s="39"/>
      <c r="N238" s="39"/>
      <c r="O238" s="39"/>
      <c r="P238" s="39"/>
      <c r="Q238" s="39"/>
      <c r="R238" s="39"/>
      <c r="S238" s="39">
        <f>60.9*0.8</f>
        <v>48.72</v>
      </c>
      <c r="T238" s="39"/>
      <c r="U238" s="39"/>
      <c r="V238" s="39"/>
      <c r="W238" s="60" t="s">
        <v>1737</v>
      </c>
    </row>
    <row r="239" spans="1:23" s="79" customFormat="1" ht="25.5" x14ac:dyDescent="0.2">
      <c r="A239" s="1" t="s">
        <v>174</v>
      </c>
      <c r="B239" s="2" t="s">
        <v>16</v>
      </c>
      <c r="C239" s="2" t="s">
        <v>175</v>
      </c>
      <c r="D239" s="2" t="s">
        <v>132</v>
      </c>
      <c r="E239" s="2">
        <v>2022</v>
      </c>
      <c r="F239" s="2" t="s">
        <v>1794</v>
      </c>
      <c r="G239" s="2" t="s">
        <v>3095</v>
      </c>
      <c r="H239" s="2" t="s">
        <v>3092</v>
      </c>
      <c r="I239" s="1" t="s">
        <v>14</v>
      </c>
      <c r="J239" s="1" t="s">
        <v>3378</v>
      </c>
      <c r="K239" s="17"/>
      <c r="L239" s="54">
        <v>0.25750000000000001</v>
      </c>
      <c r="M239" s="39"/>
      <c r="N239" s="39"/>
      <c r="O239" s="39"/>
      <c r="P239" s="39"/>
      <c r="Q239" s="39"/>
      <c r="R239" s="39"/>
      <c r="S239" s="39">
        <f>55*0.8</f>
        <v>44</v>
      </c>
      <c r="T239" s="39"/>
      <c r="U239" s="39"/>
      <c r="V239" s="39"/>
      <c r="W239" s="60" t="s">
        <v>1737</v>
      </c>
    </row>
    <row r="240" spans="1:23" s="79" customFormat="1" ht="25.5" x14ac:dyDescent="0.2">
      <c r="A240" s="1" t="s">
        <v>174</v>
      </c>
      <c r="B240" s="2" t="s">
        <v>16</v>
      </c>
      <c r="C240" s="2" t="s">
        <v>175</v>
      </c>
      <c r="D240" s="2" t="s">
        <v>132</v>
      </c>
      <c r="E240" s="2">
        <v>2022</v>
      </c>
      <c r="F240" s="2" t="s">
        <v>1796</v>
      </c>
      <c r="G240" s="2" t="s">
        <v>3095</v>
      </c>
      <c r="H240" s="2" t="s">
        <v>3092</v>
      </c>
      <c r="I240" s="1" t="s">
        <v>14</v>
      </c>
      <c r="J240" s="1" t="s">
        <v>3379</v>
      </c>
      <c r="K240" s="17"/>
      <c r="L240" s="54">
        <v>0.26590000000000003</v>
      </c>
      <c r="M240" s="39"/>
      <c r="N240" s="39"/>
      <c r="O240" s="39"/>
      <c r="P240" s="39"/>
      <c r="Q240" s="39"/>
      <c r="R240" s="39"/>
      <c r="S240" s="39">
        <f>50.1*0.8</f>
        <v>40.080000000000005</v>
      </c>
      <c r="T240" s="39"/>
      <c r="U240" s="39"/>
      <c r="V240" s="39"/>
      <c r="W240" s="60" t="s">
        <v>1737</v>
      </c>
    </row>
    <row r="241" spans="1:23" s="79" customFormat="1" ht="25.5" x14ac:dyDescent="0.2">
      <c r="A241" s="1" t="s">
        <v>174</v>
      </c>
      <c r="B241" s="2" t="s">
        <v>16</v>
      </c>
      <c r="C241" s="2" t="s">
        <v>175</v>
      </c>
      <c r="D241" s="2" t="s">
        <v>132</v>
      </c>
      <c r="E241" s="2">
        <v>2022</v>
      </c>
      <c r="F241" s="2" t="s">
        <v>1798</v>
      </c>
      <c r="G241" s="2" t="s">
        <v>3095</v>
      </c>
      <c r="H241" s="2" t="s">
        <v>3092</v>
      </c>
      <c r="I241" s="1" t="s">
        <v>14</v>
      </c>
      <c r="J241" s="1" t="s">
        <v>3380</v>
      </c>
      <c r="K241" s="17"/>
      <c r="L241" s="80">
        <v>0.25990000000000002</v>
      </c>
      <c r="M241" s="15"/>
      <c r="N241" s="15"/>
      <c r="O241" s="15"/>
      <c r="P241" s="15"/>
      <c r="Q241" s="15"/>
      <c r="R241" s="15"/>
      <c r="S241" s="15">
        <f>45.4*0.8</f>
        <v>36.32</v>
      </c>
      <c r="T241" s="15"/>
      <c r="U241" s="15"/>
      <c r="V241" s="15"/>
      <c r="W241" s="60" t="s">
        <v>1737</v>
      </c>
    </row>
    <row r="242" spans="1:23" s="79" customFormat="1" ht="51" x14ac:dyDescent="0.2">
      <c r="A242" s="1" t="s">
        <v>41</v>
      </c>
      <c r="B242" s="2" t="s">
        <v>38</v>
      </c>
      <c r="C242" s="2" t="s">
        <v>42</v>
      </c>
      <c r="D242" s="2" t="s">
        <v>43</v>
      </c>
      <c r="E242" s="2">
        <v>2022</v>
      </c>
      <c r="F242" s="2" t="s">
        <v>1776</v>
      </c>
      <c r="G242" s="2" t="s">
        <v>3095</v>
      </c>
      <c r="H242" s="2" t="s">
        <v>3092</v>
      </c>
      <c r="I242" s="1" t="s">
        <v>14</v>
      </c>
      <c r="J242" s="1" t="s">
        <v>3381</v>
      </c>
      <c r="K242" s="17"/>
      <c r="L242" s="54" t="s">
        <v>3382</v>
      </c>
      <c r="M242" s="39"/>
      <c r="N242" s="39"/>
      <c r="O242" s="39">
        <f>862.33+195.82</f>
        <v>1058.1500000000001</v>
      </c>
      <c r="P242" s="39"/>
      <c r="Q242" s="39"/>
      <c r="R242" s="39"/>
      <c r="S242" s="39"/>
      <c r="T242" s="39"/>
      <c r="U242" s="39"/>
      <c r="V242" s="39"/>
      <c r="W242" s="60" t="s">
        <v>3078</v>
      </c>
    </row>
    <row r="243" spans="1:23" s="79" customFormat="1" ht="51" x14ac:dyDescent="0.2">
      <c r="A243" s="1" t="s">
        <v>41</v>
      </c>
      <c r="B243" s="2" t="s">
        <v>38</v>
      </c>
      <c r="C243" s="2" t="s">
        <v>42</v>
      </c>
      <c r="D243" s="2" t="s">
        <v>43</v>
      </c>
      <c r="E243" s="2">
        <v>2022</v>
      </c>
      <c r="F243" s="2" t="s">
        <v>1779</v>
      </c>
      <c r="G243" s="2" t="s">
        <v>3095</v>
      </c>
      <c r="H243" s="2" t="s">
        <v>3092</v>
      </c>
      <c r="I243" s="1" t="s">
        <v>14</v>
      </c>
      <c r="J243" s="1" t="s">
        <v>3383</v>
      </c>
      <c r="K243" s="17"/>
      <c r="L243" s="54" t="s">
        <v>3384</v>
      </c>
      <c r="M243" s="39"/>
      <c r="N243" s="39"/>
      <c r="O243" s="39">
        <f>711+268.49</f>
        <v>979.49</v>
      </c>
      <c r="P243" s="39"/>
      <c r="Q243" s="39"/>
      <c r="R243" s="39"/>
      <c r="S243" s="39"/>
      <c r="T243" s="39"/>
      <c r="U243" s="39"/>
      <c r="V243" s="39"/>
      <c r="W243" s="60" t="s">
        <v>3078</v>
      </c>
    </row>
    <row r="244" spans="1:23" s="79" customFormat="1" ht="51" x14ac:dyDescent="0.2">
      <c r="A244" s="1" t="s">
        <v>41</v>
      </c>
      <c r="B244" s="2" t="s">
        <v>38</v>
      </c>
      <c r="C244" s="2" t="s">
        <v>42</v>
      </c>
      <c r="D244" s="2" t="s">
        <v>43</v>
      </c>
      <c r="E244" s="2">
        <v>2022</v>
      </c>
      <c r="F244" s="2" t="s">
        <v>1781</v>
      </c>
      <c r="G244" s="2" t="s">
        <v>3095</v>
      </c>
      <c r="H244" s="2" t="s">
        <v>3092</v>
      </c>
      <c r="I244" s="1" t="s">
        <v>14</v>
      </c>
      <c r="J244" s="1" t="s">
        <v>3385</v>
      </c>
      <c r="K244" s="17"/>
      <c r="L244" s="54" t="s">
        <v>3386</v>
      </c>
      <c r="M244" s="39"/>
      <c r="N244" s="39"/>
      <c r="O244" s="39">
        <f>154.91+173.2</f>
        <v>328.11</v>
      </c>
      <c r="P244" s="39"/>
      <c r="Q244" s="39"/>
      <c r="R244" s="39"/>
      <c r="S244" s="39"/>
      <c r="T244" s="39"/>
      <c r="U244" s="39"/>
      <c r="V244" s="39"/>
      <c r="W244" s="60" t="s">
        <v>3078</v>
      </c>
    </row>
    <row r="245" spans="1:23" s="79" customFormat="1" ht="51" x14ac:dyDescent="0.2">
      <c r="A245" s="1" t="s">
        <v>41</v>
      </c>
      <c r="B245" s="2" t="s">
        <v>38</v>
      </c>
      <c r="C245" s="2" t="s">
        <v>42</v>
      </c>
      <c r="D245" s="2" t="s">
        <v>43</v>
      </c>
      <c r="E245" s="2">
        <v>2022</v>
      </c>
      <c r="F245" s="2" t="s">
        <v>1783</v>
      </c>
      <c r="G245" s="2" t="s">
        <v>3095</v>
      </c>
      <c r="H245" s="2" t="s">
        <v>3092</v>
      </c>
      <c r="I245" s="1" t="s">
        <v>14</v>
      </c>
      <c r="J245" s="1" t="s">
        <v>3387</v>
      </c>
      <c r="K245" s="17"/>
      <c r="L245" s="54" t="s">
        <v>3388</v>
      </c>
      <c r="M245" s="39"/>
      <c r="N245" s="39"/>
      <c r="O245" s="39">
        <f>745.7+277.07</f>
        <v>1022.77</v>
      </c>
      <c r="P245" s="39"/>
      <c r="Q245" s="39"/>
      <c r="R245" s="39"/>
      <c r="S245" s="39"/>
      <c r="T245" s="39"/>
      <c r="U245" s="39"/>
      <c r="V245" s="39"/>
      <c r="W245" s="60" t="s">
        <v>3078</v>
      </c>
    </row>
    <row r="246" spans="1:23" s="79" customFormat="1" ht="51" x14ac:dyDescent="0.2">
      <c r="A246" s="1" t="s">
        <v>41</v>
      </c>
      <c r="B246" s="2" t="s">
        <v>38</v>
      </c>
      <c r="C246" s="2" t="s">
        <v>42</v>
      </c>
      <c r="D246" s="2" t="s">
        <v>43</v>
      </c>
      <c r="E246" s="2">
        <v>2022</v>
      </c>
      <c r="F246" s="2" t="s">
        <v>1785</v>
      </c>
      <c r="G246" s="2" t="s">
        <v>3095</v>
      </c>
      <c r="H246" s="2" t="s">
        <v>3092</v>
      </c>
      <c r="I246" s="1" t="s">
        <v>14</v>
      </c>
      <c r="J246" s="1" t="s">
        <v>3389</v>
      </c>
      <c r="K246" s="17"/>
      <c r="L246" s="54" t="s">
        <v>3390</v>
      </c>
      <c r="M246" s="39"/>
      <c r="N246" s="39"/>
      <c r="O246" s="39">
        <f>1006.85+249.83</f>
        <v>1256.68</v>
      </c>
      <c r="P246" s="39"/>
      <c r="Q246" s="39"/>
      <c r="R246" s="39"/>
      <c r="S246" s="39"/>
      <c r="T246" s="39"/>
      <c r="U246" s="39"/>
      <c r="V246" s="39"/>
      <c r="W246" s="60" t="s">
        <v>3078</v>
      </c>
    </row>
    <row r="247" spans="1:23" s="79" customFormat="1" ht="51" x14ac:dyDescent="0.2">
      <c r="A247" s="1" t="s">
        <v>41</v>
      </c>
      <c r="B247" s="2" t="s">
        <v>38</v>
      </c>
      <c r="C247" s="2" t="s">
        <v>42</v>
      </c>
      <c r="D247" s="2" t="s">
        <v>43</v>
      </c>
      <c r="E247" s="2">
        <v>2022</v>
      </c>
      <c r="F247" s="2" t="s">
        <v>1787</v>
      </c>
      <c r="G247" s="2" t="s">
        <v>3095</v>
      </c>
      <c r="H247" s="2" t="s">
        <v>3092</v>
      </c>
      <c r="I247" s="1" t="s">
        <v>14</v>
      </c>
      <c r="J247" s="1" t="s">
        <v>3391</v>
      </c>
      <c r="K247" s="17"/>
      <c r="L247" s="54" t="s">
        <v>3392</v>
      </c>
      <c r="M247" s="39"/>
      <c r="N247" s="39"/>
      <c r="O247" s="39">
        <f>936.05+336.97</f>
        <v>1273.02</v>
      </c>
      <c r="P247" s="39"/>
      <c r="Q247" s="39"/>
      <c r="R247" s="39"/>
      <c r="S247" s="39"/>
      <c r="T247" s="39"/>
      <c r="U247" s="39"/>
      <c r="V247" s="39"/>
      <c r="W247" s="60" t="s">
        <v>3078</v>
      </c>
    </row>
    <row r="248" spans="1:23" s="79" customFormat="1" ht="51" x14ac:dyDescent="0.2">
      <c r="A248" s="1" t="s">
        <v>41</v>
      </c>
      <c r="B248" s="2" t="s">
        <v>38</v>
      </c>
      <c r="C248" s="2" t="s">
        <v>42</v>
      </c>
      <c r="D248" s="2" t="s">
        <v>43</v>
      </c>
      <c r="E248" s="2">
        <v>2022</v>
      </c>
      <c r="F248" s="2" t="s">
        <v>1789</v>
      </c>
      <c r="G248" s="2" t="s">
        <v>3095</v>
      </c>
      <c r="H248" s="2" t="s">
        <v>3092</v>
      </c>
      <c r="I248" s="1" t="s">
        <v>14</v>
      </c>
      <c r="J248" s="1" t="s">
        <v>3393</v>
      </c>
      <c r="K248" s="17"/>
      <c r="L248" s="54" t="s">
        <v>3394</v>
      </c>
      <c r="M248" s="39"/>
      <c r="N248" s="39"/>
      <c r="O248" s="39">
        <f>951.45+213.98</f>
        <v>1165.43</v>
      </c>
      <c r="P248" s="39"/>
      <c r="Q248" s="39"/>
      <c r="R248" s="39"/>
      <c r="S248" s="39"/>
      <c r="T248" s="39"/>
      <c r="U248" s="39"/>
      <c r="V248" s="39"/>
      <c r="W248" s="60" t="s">
        <v>3078</v>
      </c>
    </row>
    <row r="249" spans="1:23" s="79" customFormat="1" ht="51" x14ac:dyDescent="0.2">
      <c r="A249" s="1" t="s">
        <v>41</v>
      </c>
      <c r="B249" s="2" t="s">
        <v>38</v>
      </c>
      <c r="C249" s="2" t="s">
        <v>42</v>
      </c>
      <c r="D249" s="2" t="s">
        <v>43</v>
      </c>
      <c r="E249" s="2">
        <v>2022</v>
      </c>
      <c r="F249" s="2" t="s">
        <v>1791</v>
      </c>
      <c r="G249" s="2" t="s">
        <v>3095</v>
      </c>
      <c r="H249" s="2" t="s">
        <v>3092</v>
      </c>
      <c r="I249" s="1" t="s">
        <v>14</v>
      </c>
      <c r="J249" s="1" t="s">
        <v>3395</v>
      </c>
      <c r="K249" s="17"/>
      <c r="L249" s="54" t="s">
        <v>3396</v>
      </c>
      <c r="M249" s="39"/>
      <c r="N249" s="39"/>
      <c r="O249" s="39">
        <f>1348.92+169.18</f>
        <v>1518.1000000000001</v>
      </c>
      <c r="P249" s="39"/>
      <c r="Q249" s="39"/>
      <c r="R249" s="39"/>
      <c r="S249" s="39"/>
      <c r="T249" s="39"/>
      <c r="U249" s="39"/>
      <c r="V249" s="39"/>
      <c r="W249" s="60" t="s">
        <v>3078</v>
      </c>
    </row>
    <row r="250" spans="1:23" s="79" customFormat="1" ht="51" x14ac:dyDescent="0.2">
      <c r="A250" s="1" t="s">
        <v>41</v>
      </c>
      <c r="B250" s="2" t="s">
        <v>38</v>
      </c>
      <c r="C250" s="2" t="s">
        <v>42</v>
      </c>
      <c r="D250" s="2" t="s">
        <v>43</v>
      </c>
      <c r="E250" s="2">
        <v>2022</v>
      </c>
      <c r="F250" s="2" t="s">
        <v>311</v>
      </c>
      <c r="G250" s="2" t="s">
        <v>3095</v>
      </c>
      <c r="H250" s="2" t="s">
        <v>3092</v>
      </c>
      <c r="I250" s="1" t="s">
        <v>14</v>
      </c>
      <c r="J250" s="1" t="s">
        <v>3397</v>
      </c>
      <c r="K250" s="17"/>
      <c r="L250" s="54" t="s">
        <v>3398</v>
      </c>
      <c r="M250" s="39"/>
      <c r="N250" s="39"/>
      <c r="O250" s="39">
        <f>1065.1+270.72</f>
        <v>1335.82</v>
      </c>
      <c r="P250" s="39"/>
      <c r="Q250" s="39"/>
      <c r="R250" s="39"/>
      <c r="S250" s="39"/>
      <c r="T250" s="39"/>
      <c r="U250" s="39"/>
      <c r="V250" s="39"/>
      <c r="W250" s="60" t="s">
        <v>3078</v>
      </c>
    </row>
    <row r="251" spans="1:23" s="79" customFormat="1" ht="63.75" x14ac:dyDescent="0.2">
      <c r="A251" s="1" t="s">
        <v>41</v>
      </c>
      <c r="B251" s="2" t="s">
        <v>38</v>
      </c>
      <c r="C251" s="2" t="s">
        <v>42</v>
      </c>
      <c r="D251" s="2" t="s">
        <v>43</v>
      </c>
      <c r="E251" s="2">
        <v>2022</v>
      </c>
      <c r="F251" s="2" t="s">
        <v>1794</v>
      </c>
      <c r="G251" s="2" t="s">
        <v>3095</v>
      </c>
      <c r="H251" s="2" t="s">
        <v>3092</v>
      </c>
      <c r="I251" s="1" t="s">
        <v>14</v>
      </c>
      <c r="J251" s="1" t="s">
        <v>3399</v>
      </c>
      <c r="K251" s="17"/>
      <c r="L251" s="54" t="s">
        <v>3400</v>
      </c>
      <c r="M251" s="39"/>
      <c r="N251" s="39"/>
      <c r="O251" s="39">
        <f>1676.8+114.7</f>
        <v>1791.5</v>
      </c>
      <c r="P251" s="39"/>
      <c r="Q251" s="39"/>
      <c r="R251" s="39"/>
      <c r="S251" s="39"/>
      <c r="T251" s="39"/>
      <c r="U251" s="39"/>
      <c r="V251" s="39"/>
      <c r="W251" s="60" t="s">
        <v>3078</v>
      </c>
    </row>
    <row r="252" spans="1:23" s="79" customFormat="1" ht="63.75" x14ac:dyDescent="0.2">
      <c r="A252" s="1" t="s">
        <v>41</v>
      </c>
      <c r="B252" s="2" t="s">
        <v>38</v>
      </c>
      <c r="C252" s="2" t="s">
        <v>42</v>
      </c>
      <c r="D252" s="2" t="s">
        <v>43</v>
      </c>
      <c r="E252" s="2">
        <v>2022</v>
      </c>
      <c r="F252" s="2" t="s">
        <v>1796</v>
      </c>
      <c r="G252" s="2" t="s">
        <v>3095</v>
      </c>
      <c r="H252" s="2" t="s">
        <v>3092</v>
      </c>
      <c r="I252" s="1" t="s">
        <v>14</v>
      </c>
      <c r="J252" s="1" t="s">
        <v>3401</v>
      </c>
      <c r="K252" s="17"/>
      <c r="L252" s="54" t="s">
        <v>3402</v>
      </c>
      <c r="M252" s="39"/>
      <c r="N252" s="39"/>
      <c r="O252" s="39">
        <f>1348.92+169.18</f>
        <v>1518.1000000000001</v>
      </c>
      <c r="P252" s="39"/>
      <c r="Q252" s="39"/>
      <c r="R252" s="39"/>
      <c r="S252" s="39"/>
      <c r="T252" s="39"/>
      <c r="U252" s="39"/>
      <c r="V252" s="39"/>
      <c r="W252" s="60" t="s">
        <v>3078</v>
      </c>
    </row>
    <row r="253" spans="1:23" s="79" customFormat="1" ht="76.5" x14ac:dyDescent="0.2">
      <c r="A253" s="1" t="s">
        <v>41</v>
      </c>
      <c r="B253" s="2" t="s">
        <v>38</v>
      </c>
      <c r="C253" s="2" t="s">
        <v>42</v>
      </c>
      <c r="D253" s="2" t="s">
        <v>43</v>
      </c>
      <c r="E253" s="2">
        <v>2022</v>
      </c>
      <c r="F253" s="2" t="s">
        <v>1798</v>
      </c>
      <c r="G253" s="2" t="s">
        <v>3095</v>
      </c>
      <c r="H253" s="2" t="s">
        <v>3092</v>
      </c>
      <c r="I253" s="1" t="s">
        <v>14</v>
      </c>
      <c r="J253" s="1" t="s">
        <v>3403</v>
      </c>
      <c r="K253" s="17"/>
      <c r="L253" s="54" t="s">
        <v>3404</v>
      </c>
      <c r="M253" s="39"/>
      <c r="N253" s="39"/>
      <c r="O253" s="39">
        <f>1046.56+229.64</f>
        <v>1276.1999999999998</v>
      </c>
      <c r="P253" s="39"/>
      <c r="Q253" s="39"/>
      <c r="R253" s="39"/>
      <c r="S253" s="39"/>
      <c r="T253" s="39"/>
      <c r="U253" s="39"/>
      <c r="V253" s="39"/>
      <c r="W253" s="60" t="s">
        <v>3078</v>
      </c>
    </row>
    <row r="254" spans="1:23" s="79" customFormat="1" ht="76.5" x14ac:dyDescent="0.2">
      <c r="A254" s="1" t="s">
        <v>3405</v>
      </c>
      <c r="B254" s="2" t="s">
        <v>196</v>
      </c>
      <c r="C254" s="2" t="s">
        <v>42</v>
      </c>
      <c r="D254" s="2" t="s">
        <v>43</v>
      </c>
      <c r="E254" s="2">
        <v>2022</v>
      </c>
      <c r="F254" s="2" t="s">
        <v>1787</v>
      </c>
      <c r="G254" s="2" t="s">
        <v>3092</v>
      </c>
      <c r="H254" s="2" t="s">
        <v>3092</v>
      </c>
      <c r="I254" s="1" t="s">
        <v>3406</v>
      </c>
      <c r="J254" s="1" t="s">
        <v>3406</v>
      </c>
      <c r="K254" s="17"/>
      <c r="L254" s="75"/>
      <c r="M254" s="39"/>
      <c r="N254" s="39"/>
      <c r="O254" s="3"/>
      <c r="P254" s="39"/>
      <c r="Q254" s="39"/>
      <c r="R254" s="39"/>
      <c r="S254" s="39"/>
      <c r="T254" s="39"/>
      <c r="U254" s="39"/>
      <c r="V254" s="39"/>
      <c r="W254" s="60" t="s">
        <v>3407</v>
      </c>
    </row>
    <row r="255" spans="1:23" s="79" customFormat="1" ht="63.75" x14ac:dyDescent="0.2">
      <c r="A255" s="1" t="s">
        <v>3405</v>
      </c>
      <c r="B255" s="2" t="s">
        <v>196</v>
      </c>
      <c r="C255" s="2" t="s">
        <v>42</v>
      </c>
      <c r="D255" s="2" t="s">
        <v>43</v>
      </c>
      <c r="E255" s="2">
        <v>2022</v>
      </c>
      <c r="F255" s="2" t="s">
        <v>1789</v>
      </c>
      <c r="G255" s="2" t="s">
        <v>3092</v>
      </c>
      <c r="H255" s="2" t="s">
        <v>3092</v>
      </c>
      <c r="I255" s="1" t="s">
        <v>3408</v>
      </c>
      <c r="J255" s="1" t="s">
        <v>3409</v>
      </c>
      <c r="K255" s="17"/>
      <c r="L255" s="54">
        <v>0.27</v>
      </c>
      <c r="M255" s="39"/>
      <c r="N255" s="39"/>
      <c r="O255" s="39">
        <v>1903.52</v>
      </c>
      <c r="P255" s="39"/>
      <c r="Q255" s="39"/>
      <c r="R255" s="39"/>
      <c r="S255" s="39"/>
      <c r="T255" s="39"/>
      <c r="U255" s="39"/>
      <c r="V255" s="39"/>
      <c r="W255" s="60" t="s">
        <v>1743</v>
      </c>
    </row>
    <row r="256" spans="1:23" s="79" customFormat="1" ht="38.25" x14ac:dyDescent="0.2">
      <c r="A256" s="1" t="s">
        <v>3410</v>
      </c>
      <c r="B256" s="2" t="s">
        <v>271</v>
      </c>
      <c r="C256" s="2" t="s">
        <v>3411</v>
      </c>
      <c r="D256" s="2" t="s">
        <v>202</v>
      </c>
      <c r="E256" s="2">
        <v>2022</v>
      </c>
      <c r="F256" s="2" t="s">
        <v>1794</v>
      </c>
      <c r="G256" s="2" t="s">
        <v>3092</v>
      </c>
      <c r="H256" s="2" t="s">
        <v>3092</v>
      </c>
      <c r="I256" s="1" t="s">
        <v>3412</v>
      </c>
      <c r="J256" s="1" t="s">
        <v>3413</v>
      </c>
      <c r="K256" s="17"/>
      <c r="L256" s="54" t="s">
        <v>1670</v>
      </c>
      <c r="M256" s="39"/>
      <c r="N256" s="39"/>
      <c r="O256" s="39" t="s">
        <v>1670</v>
      </c>
      <c r="P256" s="39"/>
      <c r="Q256" s="39"/>
      <c r="R256" s="39"/>
      <c r="S256" s="39"/>
      <c r="T256" s="39"/>
      <c r="U256" s="39"/>
      <c r="V256" s="39"/>
      <c r="W256" s="60"/>
    </row>
    <row r="257" spans="1:23" s="79" customFormat="1" ht="114.75" x14ac:dyDescent="0.2">
      <c r="A257" s="1" t="s">
        <v>52</v>
      </c>
      <c r="B257" s="2" t="s">
        <v>53</v>
      </c>
      <c r="C257" s="2" t="s">
        <v>54</v>
      </c>
      <c r="D257" s="2" t="s">
        <v>55</v>
      </c>
      <c r="E257" s="2">
        <v>2022</v>
      </c>
      <c r="F257" s="2" t="s">
        <v>1776</v>
      </c>
      <c r="G257" s="2" t="s">
        <v>3095</v>
      </c>
      <c r="H257" s="2" t="s">
        <v>3092</v>
      </c>
      <c r="I257" s="1" t="s">
        <v>14</v>
      </c>
      <c r="J257" s="1" t="s">
        <v>3414</v>
      </c>
      <c r="K257" s="17"/>
      <c r="L257" s="54">
        <v>0.1542</v>
      </c>
      <c r="M257" s="39"/>
      <c r="N257" s="39"/>
      <c r="O257" s="39">
        <v>1619.07</v>
      </c>
      <c r="P257" s="39"/>
      <c r="Q257" s="39"/>
      <c r="R257" s="39"/>
      <c r="S257" s="39"/>
      <c r="T257" s="39"/>
      <c r="U257" s="39"/>
      <c r="V257" s="39"/>
      <c r="W257" s="60"/>
    </row>
    <row r="258" spans="1:23" s="79" customFormat="1" ht="204" x14ac:dyDescent="0.2">
      <c r="A258" s="1" t="s">
        <v>52</v>
      </c>
      <c r="B258" s="2" t="s">
        <v>53</v>
      </c>
      <c r="C258" s="2" t="s">
        <v>54</v>
      </c>
      <c r="D258" s="2" t="s">
        <v>55</v>
      </c>
      <c r="E258" s="2">
        <v>2022</v>
      </c>
      <c r="F258" s="2" t="s">
        <v>1779</v>
      </c>
      <c r="G258" s="2" t="s">
        <v>3095</v>
      </c>
      <c r="H258" s="2" t="s">
        <v>3092</v>
      </c>
      <c r="I258" s="1" t="s">
        <v>14</v>
      </c>
      <c r="J258" s="1" t="s">
        <v>3415</v>
      </c>
      <c r="K258" s="17"/>
      <c r="L258" s="54">
        <v>0.161</v>
      </c>
      <c r="M258" s="39"/>
      <c r="N258" s="39"/>
      <c r="O258" s="39">
        <v>1931.45</v>
      </c>
      <c r="P258" s="39"/>
      <c r="Q258" s="39"/>
      <c r="R258" s="39"/>
      <c r="S258" s="39"/>
      <c r="T258" s="39"/>
      <c r="U258" s="39"/>
      <c r="V258" s="39"/>
      <c r="W258" s="60"/>
    </row>
    <row r="259" spans="1:23" s="79" customFormat="1" ht="242.25" x14ac:dyDescent="0.2">
      <c r="A259" s="1" t="s">
        <v>52</v>
      </c>
      <c r="B259" s="2" t="s">
        <v>53</v>
      </c>
      <c r="C259" s="2" t="s">
        <v>54</v>
      </c>
      <c r="D259" s="2" t="s">
        <v>55</v>
      </c>
      <c r="E259" s="2">
        <v>2022</v>
      </c>
      <c r="F259" s="2" t="s">
        <v>1781</v>
      </c>
      <c r="G259" s="2" t="s">
        <v>3095</v>
      </c>
      <c r="H259" s="2" t="s">
        <v>3092</v>
      </c>
      <c r="I259" s="1" t="s">
        <v>14</v>
      </c>
      <c r="J259" s="1" t="s">
        <v>3416</v>
      </c>
      <c r="K259" s="17"/>
      <c r="L259" s="39">
        <v>16.21</v>
      </c>
      <c r="M259" s="3"/>
      <c r="N259" s="39"/>
      <c r="O259" s="39">
        <v>2270.58</v>
      </c>
      <c r="P259" s="39"/>
      <c r="Q259" s="39"/>
      <c r="R259" s="39"/>
      <c r="S259" s="39"/>
      <c r="T259" s="39"/>
      <c r="U259" s="39"/>
      <c r="V259" s="39"/>
      <c r="W259" s="60"/>
    </row>
    <row r="260" spans="1:23" s="79" customFormat="1" ht="229.5" x14ac:dyDescent="0.2">
      <c r="A260" s="1" t="s">
        <v>52</v>
      </c>
      <c r="B260" s="2" t="s">
        <v>53</v>
      </c>
      <c r="C260" s="2" t="s">
        <v>54</v>
      </c>
      <c r="D260" s="2" t="s">
        <v>55</v>
      </c>
      <c r="E260" s="2">
        <v>2022</v>
      </c>
      <c r="F260" s="2" t="s">
        <v>1783</v>
      </c>
      <c r="G260" s="2" t="s">
        <v>3095</v>
      </c>
      <c r="H260" s="2" t="s">
        <v>3092</v>
      </c>
      <c r="I260" s="1" t="s">
        <v>14</v>
      </c>
      <c r="J260" s="1" t="s">
        <v>3417</v>
      </c>
      <c r="K260" s="17"/>
      <c r="L260" s="54">
        <v>0.1573</v>
      </c>
      <c r="M260" s="39"/>
      <c r="N260" s="39"/>
      <c r="O260" s="39">
        <v>1692.36</v>
      </c>
      <c r="P260" s="39"/>
      <c r="Q260" s="39"/>
      <c r="R260" s="39"/>
      <c r="S260" s="39"/>
      <c r="T260" s="39"/>
      <c r="U260" s="39"/>
      <c r="V260" s="39"/>
      <c r="W260" s="60" t="s">
        <v>3081</v>
      </c>
    </row>
    <row r="261" spans="1:23" s="79" customFormat="1" ht="331.5" x14ac:dyDescent="0.2">
      <c r="A261" s="1" t="s">
        <v>52</v>
      </c>
      <c r="B261" s="2" t="s">
        <v>53</v>
      </c>
      <c r="C261" s="2" t="s">
        <v>54</v>
      </c>
      <c r="D261" s="2" t="s">
        <v>55</v>
      </c>
      <c r="E261" s="2">
        <v>2022</v>
      </c>
      <c r="F261" s="2" t="s">
        <v>1785</v>
      </c>
      <c r="G261" s="2" t="s">
        <v>3095</v>
      </c>
      <c r="H261" s="2" t="s">
        <v>3092</v>
      </c>
      <c r="I261" s="1" t="s">
        <v>14</v>
      </c>
      <c r="J261" s="1" t="s">
        <v>3418</v>
      </c>
      <c r="K261" s="17"/>
      <c r="L261" s="54">
        <v>0.16</v>
      </c>
      <c r="M261" s="39"/>
      <c r="N261" s="39"/>
      <c r="O261" s="39">
        <v>2017.81</v>
      </c>
      <c r="P261" s="39"/>
      <c r="Q261" s="39"/>
      <c r="R261" s="39"/>
      <c r="S261" s="39"/>
      <c r="T261" s="39"/>
      <c r="U261" s="39"/>
      <c r="V261" s="39"/>
      <c r="W261" s="60" t="s">
        <v>3081</v>
      </c>
    </row>
    <row r="262" spans="1:23" s="79" customFormat="1" ht="293.25" x14ac:dyDescent="0.2">
      <c r="A262" s="1" t="s">
        <v>52</v>
      </c>
      <c r="B262" s="2" t="s">
        <v>53</v>
      </c>
      <c r="C262" s="2" t="s">
        <v>54</v>
      </c>
      <c r="D262" s="2" t="s">
        <v>55</v>
      </c>
      <c r="E262" s="2">
        <v>2022</v>
      </c>
      <c r="F262" s="2" t="s">
        <v>1787</v>
      </c>
      <c r="G262" s="2" t="s">
        <v>3095</v>
      </c>
      <c r="H262" s="2" t="s">
        <v>3092</v>
      </c>
      <c r="I262" s="1" t="s">
        <v>14</v>
      </c>
      <c r="J262" s="1" t="s">
        <v>3419</v>
      </c>
      <c r="K262" s="17"/>
      <c r="L262" s="54">
        <v>0.1671</v>
      </c>
      <c r="M262" s="39"/>
      <c r="N262" s="39"/>
      <c r="O262" s="39">
        <v>1929.52</v>
      </c>
      <c r="P262" s="39"/>
      <c r="Q262" s="39"/>
      <c r="R262" s="39"/>
      <c r="S262" s="39"/>
      <c r="T262" s="39"/>
      <c r="U262" s="39"/>
      <c r="V262" s="39"/>
      <c r="W262" s="60"/>
    </row>
    <row r="263" spans="1:23" s="79" customFormat="1" ht="267.75" x14ac:dyDescent="0.2">
      <c r="A263" s="1" t="s">
        <v>52</v>
      </c>
      <c r="B263" s="2" t="s">
        <v>53</v>
      </c>
      <c r="C263" s="2" t="s">
        <v>54</v>
      </c>
      <c r="D263" s="2" t="s">
        <v>55</v>
      </c>
      <c r="E263" s="2">
        <v>2022</v>
      </c>
      <c r="F263" s="2" t="s">
        <v>1789</v>
      </c>
      <c r="G263" s="2" t="s">
        <v>3095</v>
      </c>
      <c r="H263" s="2" t="s">
        <v>3092</v>
      </c>
      <c r="I263" s="1" t="s">
        <v>14</v>
      </c>
      <c r="J263" s="1" t="s">
        <v>3420</v>
      </c>
      <c r="K263" s="17"/>
      <c r="L263" s="54">
        <v>0.1663</v>
      </c>
      <c r="M263" s="39"/>
      <c r="N263" s="39"/>
      <c r="O263" s="39">
        <v>937</v>
      </c>
      <c r="P263" s="39"/>
      <c r="Q263" s="39"/>
      <c r="R263" s="39"/>
      <c r="S263" s="39"/>
      <c r="T263" s="39"/>
      <c r="U263" s="39"/>
      <c r="V263" s="39"/>
      <c r="W263" s="60"/>
    </row>
    <row r="264" spans="1:23" s="79" customFormat="1" ht="280.5" x14ac:dyDescent="0.2">
      <c r="A264" s="1" t="s">
        <v>52</v>
      </c>
      <c r="B264" s="2" t="s">
        <v>53</v>
      </c>
      <c r="C264" s="2" t="s">
        <v>54</v>
      </c>
      <c r="D264" s="2" t="s">
        <v>55</v>
      </c>
      <c r="E264" s="2">
        <v>2022</v>
      </c>
      <c r="F264" s="2" t="s">
        <v>1791</v>
      </c>
      <c r="G264" s="2" t="s">
        <v>3095</v>
      </c>
      <c r="H264" s="2" t="s">
        <v>3092</v>
      </c>
      <c r="I264" s="1" t="s">
        <v>14</v>
      </c>
      <c r="J264" s="1" t="s">
        <v>3421</v>
      </c>
      <c r="K264" s="17"/>
      <c r="L264" s="54">
        <v>0.1696</v>
      </c>
      <c r="M264" s="39"/>
      <c r="N264" s="39"/>
      <c r="O264" s="39">
        <v>1375.44</v>
      </c>
      <c r="P264" s="39"/>
      <c r="Q264" s="39"/>
      <c r="R264" s="39"/>
      <c r="S264" s="39"/>
      <c r="T264" s="39"/>
      <c r="U264" s="39"/>
      <c r="V264" s="39"/>
      <c r="W264" s="60" t="s">
        <v>3081</v>
      </c>
    </row>
    <row r="265" spans="1:23" s="79" customFormat="1" ht="255" x14ac:dyDescent="0.2">
      <c r="A265" s="1" t="s">
        <v>52</v>
      </c>
      <c r="B265" s="2" t="s">
        <v>53</v>
      </c>
      <c r="C265" s="2" t="s">
        <v>54</v>
      </c>
      <c r="D265" s="2" t="s">
        <v>55</v>
      </c>
      <c r="E265" s="2">
        <v>2022</v>
      </c>
      <c r="F265" s="2" t="s">
        <v>311</v>
      </c>
      <c r="G265" s="2" t="s">
        <v>3095</v>
      </c>
      <c r="H265" s="2" t="s">
        <v>3092</v>
      </c>
      <c r="I265" s="1" t="s">
        <v>14</v>
      </c>
      <c r="J265" s="1" t="s">
        <v>3422</v>
      </c>
      <c r="K265" s="17"/>
      <c r="L265" s="54">
        <v>0.16689999999999999</v>
      </c>
      <c r="M265" s="39"/>
      <c r="N265" s="39"/>
      <c r="O265" s="39">
        <v>1444.43</v>
      </c>
      <c r="P265" s="39"/>
      <c r="Q265" s="39"/>
      <c r="R265" s="39"/>
      <c r="S265" s="39"/>
      <c r="T265" s="39"/>
      <c r="U265" s="39"/>
      <c r="V265" s="39"/>
      <c r="W265" s="60" t="s">
        <v>3081</v>
      </c>
    </row>
    <row r="266" spans="1:23" s="79" customFormat="1" ht="255" x14ac:dyDescent="0.2">
      <c r="A266" s="1" t="s">
        <v>52</v>
      </c>
      <c r="B266" s="2" t="s">
        <v>53</v>
      </c>
      <c r="C266" s="2" t="s">
        <v>54</v>
      </c>
      <c r="D266" s="2" t="s">
        <v>55</v>
      </c>
      <c r="E266" s="2">
        <v>2022</v>
      </c>
      <c r="F266" s="2" t="s">
        <v>1794</v>
      </c>
      <c r="G266" s="2" t="s">
        <v>3095</v>
      </c>
      <c r="H266" s="2" t="s">
        <v>3092</v>
      </c>
      <c r="I266" s="1" t="s">
        <v>14</v>
      </c>
      <c r="J266" s="1" t="s">
        <v>3423</v>
      </c>
      <c r="K266" s="17"/>
      <c r="L266" s="54">
        <v>0.16259999999999999</v>
      </c>
      <c r="M266" s="39"/>
      <c r="N266" s="39"/>
      <c r="O266" s="39">
        <v>1318.37</v>
      </c>
      <c r="P266" s="39"/>
      <c r="Q266" s="39"/>
      <c r="R266" s="39"/>
      <c r="S266" s="39"/>
      <c r="T266" s="39"/>
      <c r="U266" s="39"/>
      <c r="V266" s="39"/>
      <c r="W266" s="60"/>
    </row>
    <row r="267" spans="1:23" s="79" customFormat="1" ht="255" x14ac:dyDescent="0.2">
      <c r="A267" s="1" t="s">
        <v>52</v>
      </c>
      <c r="B267" s="2" t="s">
        <v>53</v>
      </c>
      <c r="C267" s="2" t="s">
        <v>54</v>
      </c>
      <c r="D267" s="2" t="s">
        <v>55</v>
      </c>
      <c r="E267" s="2">
        <v>2022</v>
      </c>
      <c r="F267" s="2" t="s">
        <v>1796</v>
      </c>
      <c r="G267" s="2" t="s">
        <v>3095</v>
      </c>
      <c r="H267" s="2" t="s">
        <v>3092</v>
      </c>
      <c r="I267" s="1" t="s">
        <v>14</v>
      </c>
      <c r="J267" s="1" t="s">
        <v>3424</v>
      </c>
      <c r="K267" s="17"/>
      <c r="L267" s="54">
        <v>0.15429999999999999</v>
      </c>
      <c r="M267" s="39"/>
      <c r="N267" s="39"/>
      <c r="O267" s="39">
        <v>1850.58</v>
      </c>
      <c r="P267" s="39"/>
      <c r="Q267" s="39"/>
      <c r="R267" s="39"/>
      <c r="S267" s="39"/>
      <c r="T267" s="39"/>
      <c r="U267" s="39"/>
      <c r="V267" s="39"/>
      <c r="W267" s="60"/>
    </row>
    <row r="268" spans="1:23" s="79" customFormat="1" ht="318.75" x14ac:dyDescent="0.2">
      <c r="A268" s="1" t="s">
        <v>52</v>
      </c>
      <c r="B268" s="2" t="s">
        <v>53</v>
      </c>
      <c r="C268" s="2" t="s">
        <v>54</v>
      </c>
      <c r="D268" s="2" t="s">
        <v>55</v>
      </c>
      <c r="E268" s="2">
        <v>2022</v>
      </c>
      <c r="F268" s="2" t="s">
        <v>1798</v>
      </c>
      <c r="G268" s="2" t="s">
        <v>3095</v>
      </c>
      <c r="H268" s="2" t="s">
        <v>3092</v>
      </c>
      <c r="I268" s="1" t="s">
        <v>14</v>
      </c>
      <c r="J268" s="1" t="s">
        <v>3425</v>
      </c>
      <c r="K268" s="17"/>
      <c r="L268" s="54">
        <v>0.15759999999999999</v>
      </c>
      <c r="M268" s="39"/>
      <c r="N268" s="39"/>
      <c r="O268" s="39">
        <v>1911.65</v>
      </c>
      <c r="P268" s="39"/>
      <c r="Q268" s="39"/>
      <c r="R268" s="39"/>
      <c r="S268" s="39"/>
      <c r="T268" s="39"/>
      <c r="U268" s="39"/>
      <c r="V268" s="39"/>
      <c r="W268" s="60" t="s">
        <v>3081</v>
      </c>
    </row>
    <row r="269" spans="1:23" s="79" customFormat="1" ht="25.5" x14ac:dyDescent="0.2">
      <c r="A269" s="1" t="s">
        <v>130</v>
      </c>
      <c r="B269" s="2" t="s">
        <v>10</v>
      </c>
      <c r="C269" s="2" t="s">
        <v>131</v>
      </c>
      <c r="D269" s="2" t="s">
        <v>132</v>
      </c>
      <c r="E269" s="2">
        <v>2022</v>
      </c>
      <c r="F269" s="2" t="s">
        <v>1776</v>
      </c>
      <c r="G269" s="2" t="s">
        <v>3095</v>
      </c>
      <c r="H269" s="2" t="s">
        <v>3092</v>
      </c>
      <c r="I269" s="1" t="s">
        <v>14</v>
      </c>
      <c r="J269" s="1" t="s">
        <v>3426</v>
      </c>
      <c r="K269" s="17"/>
      <c r="L269" s="54"/>
      <c r="M269" s="39"/>
      <c r="N269" s="39"/>
      <c r="O269" s="39"/>
      <c r="P269" s="39"/>
      <c r="Q269" s="39"/>
      <c r="R269" s="39"/>
      <c r="S269" s="39"/>
      <c r="T269" s="39"/>
      <c r="U269" s="39"/>
      <c r="V269" s="39"/>
      <c r="W269" s="60" t="s">
        <v>1735</v>
      </c>
    </row>
    <row r="270" spans="1:23" s="79" customFormat="1" ht="25.5" x14ac:dyDescent="0.2">
      <c r="A270" s="1" t="s">
        <v>130</v>
      </c>
      <c r="B270" s="2" t="s">
        <v>10</v>
      </c>
      <c r="C270" s="2" t="s">
        <v>131</v>
      </c>
      <c r="D270" s="2" t="s">
        <v>132</v>
      </c>
      <c r="E270" s="2">
        <v>2022</v>
      </c>
      <c r="F270" s="2" t="s">
        <v>1779</v>
      </c>
      <c r="G270" s="2" t="s">
        <v>3095</v>
      </c>
      <c r="H270" s="2" t="s">
        <v>3092</v>
      </c>
      <c r="I270" s="1" t="s">
        <v>14</v>
      </c>
      <c r="J270" s="1" t="s">
        <v>3427</v>
      </c>
      <c r="K270" s="17"/>
      <c r="L270" s="54"/>
      <c r="M270" s="39"/>
      <c r="N270" s="39"/>
      <c r="O270" s="39"/>
      <c r="P270" s="39"/>
      <c r="Q270" s="39"/>
      <c r="R270" s="39"/>
      <c r="S270" s="39"/>
      <c r="T270" s="39"/>
      <c r="U270" s="39"/>
      <c r="V270" s="39"/>
      <c r="W270" s="60" t="s">
        <v>1735</v>
      </c>
    </row>
    <row r="271" spans="1:23" s="79" customFormat="1" ht="25.5" x14ac:dyDescent="0.2">
      <c r="A271" s="1" t="s">
        <v>130</v>
      </c>
      <c r="B271" s="2" t="s">
        <v>10</v>
      </c>
      <c r="C271" s="2" t="s">
        <v>131</v>
      </c>
      <c r="D271" s="2" t="s">
        <v>132</v>
      </c>
      <c r="E271" s="2">
        <v>2022</v>
      </c>
      <c r="F271" s="2" t="s">
        <v>1781</v>
      </c>
      <c r="G271" s="2" t="s">
        <v>3095</v>
      </c>
      <c r="H271" s="2" t="s">
        <v>3092</v>
      </c>
      <c r="I271" s="1" t="s">
        <v>14</v>
      </c>
      <c r="J271" s="1" t="s">
        <v>3428</v>
      </c>
      <c r="K271" s="17"/>
      <c r="L271" s="54"/>
      <c r="M271" s="39"/>
      <c r="N271" s="39"/>
      <c r="O271" s="39"/>
      <c r="P271" s="39"/>
      <c r="Q271" s="39"/>
      <c r="R271" s="39"/>
      <c r="S271" s="39"/>
      <c r="T271" s="39"/>
      <c r="U271" s="39"/>
      <c r="V271" s="39"/>
      <c r="W271" s="60" t="s">
        <v>1735</v>
      </c>
    </row>
    <row r="272" spans="1:23" s="79" customFormat="1" ht="25.5" x14ac:dyDescent="0.2">
      <c r="A272" s="1" t="s">
        <v>130</v>
      </c>
      <c r="B272" s="2" t="s">
        <v>10</v>
      </c>
      <c r="C272" s="2" t="s">
        <v>131</v>
      </c>
      <c r="D272" s="2" t="s">
        <v>132</v>
      </c>
      <c r="E272" s="2">
        <v>2022</v>
      </c>
      <c r="F272" s="2" t="s">
        <v>1783</v>
      </c>
      <c r="G272" s="2" t="s">
        <v>3095</v>
      </c>
      <c r="H272" s="2" t="s">
        <v>3092</v>
      </c>
      <c r="I272" s="1" t="s">
        <v>14</v>
      </c>
      <c r="J272" s="1" t="s">
        <v>3429</v>
      </c>
      <c r="K272" s="17"/>
      <c r="L272" s="54"/>
      <c r="M272" s="39"/>
      <c r="N272" s="39"/>
      <c r="O272" s="39"/>
      <c r="P272" s="39"/>
      <c r="Q272" s="39"/>
      <c r="R272" s="39"/>
      <c r="S272" s="39"/>
      <c r="T272" s="39"/>
      <c r="U272" s="39"/>
      <c r="V272" s="39"/>
      <c r="W272" s="60" t="s">
        <v>1735</v>
      </c>
    </row>
    <row r="273" spans="1:23" s="79" customFormat="1" ht="25.5" x14ac:dyDescent="0.2">
      <c r="A273" s="1" t="s">
        <v>130</v>
      </c>
      <c r="B273" s="2" t="s">
        <v>10</v>
      </c>
      <c r="C273" s="2" t="s">
        <v>131</v>
      </c>
      <c r="D273" s="2" t="s">
        <v>132</v>
      </c>
      <c r="E273" s="2">
        <v>2022</v>
      </c>
      <c r="F273" s="2" t="s">
        <v>1785</v>
      </c>
      <c r="G273" s="2" t="s">
        <v>3095</v>
      </c>
      <c r="H273" s="2" t="s">
        <v>3092</v>
      </c>
      <c r="I273" s="1" t="s">
        <v>14</v>
      </c>
      <c r="J273" s="1" t="s">
        <v>3430</v>
      </c>
      <c r="K273" s="17"/>
      <c r="L273" s="54"/>
      <c r="M273" s="39"/>
      <c r="N273" s="39"/>
      <c r="O273" s="39"/>
      <c r="P273" s="39"/>
      <c r="Q273" s="39"/>
      <c r="R273" s="39"/>
      <c r="S273" s="39"/>
      <c r="T273" s="39"/>
      <c r="U273" s="39"/>
      <c r="V273" s="39"/>
      <c r="W273" s="60" t="s">
        <v>1735</v>
      </c>
    </row>
    <row r="274" spans="1:23" s="79" customFormat="1" ht="25.5" x14ac:dyDescent="0.2">
      <c r="A274" s="1" t="s">
        <v>130</v>
      </c>
      <c r="B274" s="2" t="s">
        <v>10</v>
      </c>
      <c r="C274" s="2" t="s">
        <v>131</v>
      </c>
      <c r="D274" s="2" t="s">
        <v>132</v>
      </c>
      <c r="E274" s="2">
        <v>2022</v>
      </c>
      <c r="F274" s="2" t="s">
        <v>1787</v>
      </c>
      <c r="G274" s="2" t="s">
        <v>3095</v>
      </c>
      <c r="H274" s="2" t="s">
        <v>3092</v>
      </c>
      <c r="I274" s="1" t="s">
        <v>14</v>
      </c>
      <c r="J274" s="1" t="s">
        <v>2136</v>
      </c>
      <c r="K274" s="17"/>
      <c r="L274" s="54"/>
      <c r="M274" s="39"/>
      <c r="N274" s="39"/>
      <c r="O274" s="39"/>
      <c r="P274" s="39"/>
      <c r="Q274" s="39"/>
      <c r="R274" s="39"/>
      <c r="S274" s="39"/>
      <c r="T274" s="39"/>
      <c r="U274" s="39"/>
      <c r="V274" s="39"/>
      <c r="W274" s="60" t="s">
        <v>1735</v>
      </c>
    </row>
    <row r="275" spans="1:23" s="79" customFormat="1" ht="25.5" x14ac:dyDescent="0.2">
      <c r="A275" s="1" t="s">
        <v>130</v>
      </c>
      <c r="B275" s="2" t="s">
        <v>10</v>
      </c>
      <c r="C275" s="2" t="s">
        <v>131</v>
      </c>
      <c r="D275" s="2" t="s">
        <v>132</v>
      </c>
      <c r="E275" s="2">
        <v>2022</v>
      </c>
      <c r="F275" s="2" t="s">
        <v>1789</v>
      </c>
      <c r="G275" s="2" t="s">
        <v>3095</v>
      </c>
      <c r="H275" s="2" t="s">
        <v>3092</v>
      </c>
      <c r="I275" s="1" t="s">
        <v>14</v>
      </c>
      <c r="J275" s="1" t="s">
        <v>3431</v>
      </c>
      <c r="K275" s="17"/>
      <c r="L275" s="54"/>
      <c r="M275" s="39"/>
      <c r="N275" s="39"/>
      <c r="O275" s="39"/>
      <c r="P275" s="39"/>
      <c r="Q275" s="39"/>
      <c r="R275" s="39"/>
      <c r="S275" s="39"/>
      <c r="T275" s="39"/>
      <c r="U275" s="39"/>
      <c r="V275" s="39"/>
      <c r="W275" s="60" t="s">
        <v>1735</v>
      </c>
    </row>
    <row r="276" spans="1:23" s="79" customFormat="1" ht="25.5" x14ac:dyDescent="0.2">
      <c r="A276" s="1" t="s">
        <v>130</v>
      </c>
      <c r="B276" s="2" t="s">
        <v>10</v>
      </c>
      <c r="C276" s="2" t="s">
        <v>131</v>
      </c>
      <c r="D276" s="2" t="s">
        <v>132</v>
      </c>
      <c r="E276" s="2">
        <v>2022</v>
      </c>
      <c r="F276" s="2" t="s">
        <v>1791</v>
      </c>
      <c r="G276" s="2" t="s">
        <v>3095</v>
      </c>
      <c r="H276" s="2" t="s">
        <v>3092</v>
      </c>
      <c r="I276" s="1" t="s">
        <v>14</v>
      </c>
      <c r="J276" s="1" t="s">
        <v>2136</v>
      </c>
      <c r="K276" s="17"/>
      <c r="L276" s="54"/>
      <c r="M276" s="39"/>
      <c r="N276" s="39"/>
      <c r="O276" s="39"/>
      <c r="P276" s="39"/>
      <c r="Q276" s="39"/>
      <c r="R276" s="39"/>
      <c r="S276" s="39"/>
      <c r="T276" s="39"/>
      <c r="U276" s="39"/>
      <c r="V276" s="39"/>
      <c r="W276" s="60" t="s">
        <v>1735</v>
      </c>
    </row>
    <row r="277" spans="1:23" s="79" customFormat="1" ht="25.5" x14ac:dyDescent="0.2">
      <c r="A277" s="1" t="s">
        <v>130</v>
      </c>
      <c r="B277" s="2" t="s">
        <v>10</v>
      </c>
      <c r="C277" s="2" t="s">
        <v>131</v>
      </c>
      <c r="D277" s="2" t="s">
        <v>132</v>
      </c>
      <c r="E277" s="2">
        <v>2022</v>
      </c>
      <c r="F277" s="2" t="s">
        <v>311</v>
      </c>
      <c r="G277" s="2" t="s">
        <v>3095</v>
      </c>
      <c r="H277" s="2" t="s">
        <v>3092</v>
      </c>
      <c r="I277" s="1" t="s">
        <v>14</v>
      </c>
      <c r="J277" s="1" t="s">
        <v>3432</v>
      </c>
      <c r="K277" s="17"/>
      <c r="L277" s="54"/>
      <c r="M277" s="39"/>
      <c r="N277" s="39"/>
      <c r="O277" s="39"/>
      <c r="P277" s="39"/>
      <c r="Q277" s="39"/>
      <c r="R277" s="39"/>
      <c r="S277" s="39"/>
      <c r="T277" s="39"/>
      <c r="U277" s="39"/>
      <c r="V277" s="39"/>
      <c r="W277" s="60" t="s">
        <v>1735</v>
      </c>
    </row>
    <row r="278" spans="1:23" s="79" customFormat="1" ht="25.5" x14ac:dyDescent="0.2">
      <c r="A278" s="1" t="s">
        <v>130</v>
      </c>
      <c r="B278" s="2" t="s">
        <v>10</v>
      </c>
      <c r="C278" s="2" t="s">
        <v>131</v>
      </c>
      <c r="D278" s="2" t="s">
        <v>132</v>
      </c>
      <c r="E278" s="2">
        <v>2022</v>
      </c>
      <c r="F278" s="2" t="s">
        <v>1794</v>
      </c>
      <c r="G278" s="2" t="s">
        <v>3095</v>
      </c>
      <c r="H278" s="2" t="s">
        <v>3092</v>
      </c>
      <c r="I278" s="1" t="s">
        <v>14</v>
      </c>
      <c r="J278" s="1" t="s">
        <v>3433</v>
      </c>
      <c r="K278" s="17"/>
      <c r="L278" s="54"/>
      <c r="M278" s="39"/>
      <c r="N278" s="39"/>
      <c r="O278" s="39"/>
      <c r="P278" s="39"/>
      <c r="Q278" s="39"/>
      <c r="R278" s="39"/>
      <c r="S278" s="39"/>
      <c r="T278" s="39"/>
      <c r="U278" s="39"/>
      <c r="V278" s="39"/>
      <c r="W278" s="60" t="s">
        <v>1735</v>
      </c>
    </row>
    <row r="279" spans="1:23" s="79" customFormat="1" ht="25.5" x14ac:dyDescent="0.2">
      <c r="A279" s="1" t="s">
        <v>130</v>
      </c>
      <c r="B279" s="2" t="s">
        <v>10</v>
      </c>
      <c r="C279" s="2" t="s">
        <v>131</v>
      </c>
      <c r="D279" s="2" t="s">
        <v>132</v>
      </c>
      <c r="E279" s="2">
        <v>2022</v>
      </c>
      <c r="F279" s="2" t="s">
        <v>1796</v>
      </c>
      <c r="G279" s="2" t="s">
        <v>3095</v>
      </c>
      <c r="H279" s="2" t="s">
        <v>3092</v>
      </c>
      <c r="I279" s="1" t="s">
        <v>14</v>
      </c>
      <c r="J279" s="1" t="s">
        <v>2136</v>
      </c>
      <c r="K279" s="17"/>
      <c r="L279" s="54"/>
      <c r="M279" s="39"/>
      <c r="N279" s="39"/>
      <c r="O279" s="39"/>
      <c r="P279" s="39"/>
      <c r="Q279" s="39"/>
      <c r="R279" s="39"/>
      <c r="S279" s="39"/>
      <c r="T279" s="39"/>
      <c r="U279" s="39"/>
      <c r="V279" s="39"/>
      <c r="W279" s="60" t="s">
        <v>1735</v>
      </c>
    </row>
    <row r="280" spans="1:23" s="79" customFormat="1" ht="25.5" x14ac:dyDescent="0.2">
      <c r="A280" s="1" t="s">
        <v>130</v>
      </c>
      <c r="B280" s="2" t="s">
        <v>10</v>
      </c>
      <c r="C280" s="2" t="s">
        <v>131</v>
      </c>
      <c r="D280" s="2" t="s">
        <v>132</v>
      </c>
      <c r="E280" s="2">
        <v>2022</v>
      </c>
      <c r="F280" s="2" t="s">
        <v>1798</v>
      </c>
      <c r="G280" s="2" t="s">
        <v>3095</v>
      </c>
      <c r="H280" s="2" t="s">
        <v>3092</v>
      </c>
      <c r="I280" s="1" t="s">
        <v>14</v>
      </c>
      <c r="J280" s="1" t="s">
        <v>2131</v>
      </c>
      <c r="K280" s="17"/>
      <c r="L280" s="54"/>
      <c r="M280" s="39"/>
      <c r="N280" s="39"/>
      <c r="O280" s="39"/>
      <c r="P280" s="39"/>
      <c r="Q280" s="39"/>
      <c r="R280" s="39"/>
      <c r="S280" s="39"/>
      <c r="T280" s="39"/>
      <c r="U280" s="39"/>
      <c r="V280" s="39"/>
      <c r="W280" s="60" t="s">
        <v>1735</v>
      </c>
    </row>
    <row r="281" spans="1:23" s="79" customFormat="1" ht="38.25" x14ac:dyDescent="0.2">
      <c r="A281" s="1" t="s">
        <v>89</v>
      </c>
      <c r="B281" s="2" t="s">
        <v>16</v>
      </c>
      <c r="C281" s="2" t="s">
        <v>90</v>
      </c>
      <c r="D281" s="2" t="s">
        <v>91</v>
      </c>
      <c r="E281" s="2">
        <v>2022</v>
      </c>
      <c r="F281" s="2" t="s">
        <v>1776</v>
      </c>
      <c r="G281" s="2" t="s">
        <v>3095</v>
      </c>
      <c r="H281" s="2" t="s">
        <v>3092</v>
      </c>
      <c r="I281" s="1" t="s">
        <v>14</v>
      </c>
      <c r="J281" s="1" t="s">
        <v>3434</v>
      </c>
      <c r="K281" s="17"/>
      <c r="L281" s="80">
        <v>0.38429999999999997</v>
      </c>
      <c r="M281" s="15"/>
      <c r="N281" s="15"/>
      <c r="O281" s="15"/>
      <c r="P281" s="15"/>
      <c r="Q281" s="15"/>
      <c r="R281" s="15"/>
      <c r="S281" s="15">
        <v>43.05</v>
      </c>
      <c r="T281" s="15"/>
      <c r="U281" s="15"/>
      <c r="V281" s="15"/>
      <c r="W281" s="60"/>
    </row>
    <row r="282" spans="1:23" s="79" customFormat="1" ht="38.25" x14ac:dyDescent="0.2">
      <c r="A282" s="1" t="s">
        <v>89</v>
      </c>
      <c r="B282" s="2" t="s">
        <v>16</v>
      </c>
      <c r="C282" s="2" t="s">
        <v>90</v>
      </c>
      <c r="D282" s="2" t="s">
        <v>91</v>
      </c>
      <c r="E282" s="2">
        <v>2022</v>
      </c>
      <c r="F282" s="2" t="s">
        <v>1779</v>
      </c>
      <c r="G282" s="2" t="s">
        <v>3095</v>
      </c>
      <c r="H282" s="2" t="s">
        <v>3092</v>
      </c>
      <c r="I282" s="1" t="s">
        <v>14</v>
      </c>
      <c r="J282" s="1" t="s">
        <v>3435</v>
      </c>
      <c r="K282" s="17"/>
      <c r="L282" s="54">
        <v>0.38</v>
      </c>
      <c r="M282" s="39"/>
      <c r="N282" s="39"/>
      <c r="O282" s="39"/>
      <c r="P282" s="39"/>
      <c r="Q282" s="39"/>
      <c r="R282" s="39"/>
      <c r="S282" s="39">
        <v>45.36</v>
      </c>
      <c r="T282" s="39"/>
      <c r="U282" s="39"/>
      <c r="V282" s="39"/>
      <c r="W282" s="60"/>
    </row>
    <row r="283" spans="1:23" s="79" customFormat="1" ht="38.25" x14ac:dyDescent="0.2">
      <c r="A283" s="1" t="s">
        <v>89</v>
      </c>
      <c r="B283" s="2" t="s">
        <v>16</v>
      </c>
      <c r="C283" s="2" t="s">
        <v>90</v>
      </c>
      <c r="D283" s="2" t="s">
        <v>91</v>
      </c>
      <c r="E283" s="2">
        <v>2022</v>
      </c>
      <c r="F283" s="2" t="s">
        <v>1781</v>
      </c>
      <c r="G283" s="2" t="s">
        <v>3095</v>
      </c>
      <c r="H283" s="2" t="s">
        <v>3092</v>
      </c>
      <c r="I283" s="1" t="s">
        <v>14</v>
      </c>
      <c r="J283" s="1" t="s">
        <v>3436</v>
      </c>
      <c r="K283" s="17"/>
      <c r="L283" s="54">
        <v>0.39</v>
      </c>
      <c r="M283" s="39"/>
      <c r="N283" s="39"/>
      <c r="O283" s="39"/>
      <c r="P283" s="39"/>
      <c r="Q283" s="39"/>
      <c r="R283" s="39"/>
      <c r="S283" s="39">
        <v>55.84</v>
      </c>
      <c r="T283" s="39"/>
      <c r="U283" s="39"/>
      <c r="V283" s="39"/>
      <c r="W283" s="60"/>
    </row>
    <row r="284" spans="1:23" s="79" customFormat="1" ht="51" x14ac:dyDescent="0.2">
      <c r="A284" s="1" t="s">
        <v>89</v>
      </c>
      <c r="B284" s="2" t="s">
        <v>16</v>
      </c>
      <c r="C284" s="2" t="s">
        <v>90</v>
      </c>
      <c r="D284" s="2" t="s">
        <v>91</v>
      </c>
      <c r="E284" s="2">
        <v>2022</v>
      </c>
      <c r="F284" s="2" t="s">
        <v>1783</v>
      </c>
      <c r="G284" s="2" t="s">
        <v>3095</v>
      </c>
      <c r="H284" s="2" t="s">
        <v>3092</v>
      </c>
      <c r="I284" s="1" t="s">
        <v>14</v>
      </c>
      <c r="J284" s="1" t="s">
        <v>3437</v>
      </c>
      <c r="K284" s="17"/>
      <c r="L284" s="54">
        <v>0.38</v>
      </c>
      <c r="M284" s="15"/>
      <c r="N284" s="15"/>
      <c r="O284" s="15"/>
      <c r="P284" s="15"/>
      <c r="Q284" s="15"/>
      <c r="R284" s="15"/>
      <c r="S284" s="15">
        <v>48.22</v>
      </c>
      <c r="T284" s="15"/>
      <c r="U284" s="15"/>
      <c r="V284" s="15"/>
      <c r="W284" s="60"/>
    </row>
    <row r="285" spans="1:23" s="79" customFormat="1" ht="51" x14ac:dyDescent="0.2">
      <c r="A285" s="1" t="s">
        <v>89</v>
      </c>
      <c r="B285" s="2" t="s">
        <v>16</v>
      </c>
      <c r="C285" s="2" t="s">
        <v>90</v>
      </c>
      <c r="D285" s="2" t="s">
        <v>91</v>
      </c>
      <c r="E285" s="2">
        <v>2022</v>
      </c>
      <c r="F285" s="2" t="s">
        <v>1785</v>
      </c>
      <c r="G285" s="2" t="s">
        <v>3095</v>
      </c>
      <c r="H285" s="2" t="s">
        <v>3092</v>
      </c>
      <c r="I285" s="1" t="s">
        <v>14</v>
      </c>
      <c r="J285" s="1" t="s">
        <v>3438</v>
      </c>
      <c r="K285" s="17"/>
      <c r="L285" s="54">
        <v>0.37330000000000002</v>
      </c>
      <c r="M285" s="39"/>
      <c r="N285" s="39"/>
      <c r="O285" s="39"/>
      <c r="P285" s="39"/>
      <c r="Q285" s="39"/>
      <c r="R285" s="39"/>
      <c r="S285" s="39">
        <v>47.58</v>
      </c>
      <c r="T285" s="39"/>
      <c r="U285" s="39"/>
      <c r="V285" s="39"/>
      <c r="W285" s="60"/>
    </row>
    <row r="286" spans="1:23" s="79" customFormat="1" ht="51" x14ac:dyDescent="0.2">
      <c r="A286" s="1" t="s">
        <v>89</v>
      </c>
      <c r="B286" s="2" t="s">
        <v>16</v>
      </c>
      <c r="C286" s="2" t="s">
        <v>90</v>
      </c>
      <c r="D286" s="2" t="s">
        <v>91</v>
      </c>
      <c r="E286" s="2">
        <v>2022</v>
      </c>
      <c r="F286" s="2" t="s">
        <v>1787</v>
      </c>
      <c r="G286" s="2" t="s">
        <v>3095</v>
      </c>
      <c r="H286" s="2" t="s">
        <v>3092</v>
      </c>
      <c r="I286" s="1" t="s">
        <v>14</v>
      </c>
      <c r="J286" s="1" t="s">
        <v>3439</v>
      </c>
      <c r="K286" s="17"/>
      <c r="L286" s="54">
        <v>0.39369999999999999</v>
      </c>
      <c r="M286" s="39"/>
      <c r="N286" s="39"/>
      <c r="O286" s="39"/>
      <c r="P286" s="39"/>
      <c r="Q286" s="39"/>
      <c r="R286" s="39"/>
      <c r="S286" s="39">
        <v>63.22</v>
      </c>
      <c r="T286" s="39"/>
      <c r="U286" s="39"/>
      <c r="V286" s="39"/>
      <c r="W286" s="60"/>
    </row>
    <row r="287" spans="1:23" s="79" customFormat="1" ht="38.25" x14ac:dyDescent="0.2">
      <c r="A287" s="1" t="s">
        <v>89</v>
      </c>
      <c r="B287" s="2" t="s">
        <v>16</v>
      </c>
      <c r="C287" s="2" t="s">
        <v>90</v>
      </c>
      <c r="D287" s="2" t="s">
        <v>91</v>
      </c>
      <c r="E287" s="2">
        <v>2022</v>
      </c>
      <c r="F287" s="2" t="s">
        <v>1789</v>
      </c>
      <c r="G287" s="2" t="s">
        <v>3095</v>
      </c>
      <c r="H287" s="2" t="s">
        <v>3092</v>
      </c>
      <c r="I287" s="1" t="s">
        <v>14</v>
      </c>
      <c r="J287" s="1" t="s">
        <v>3440</v>
      </c>
      <c r="K287" s="17"/>
      <c r="L287" s="54">
        <v>0.39319999999999999</v>
      </c>
      <c r="M287" s="39"/>
      <c r="N287" s="39"/>
      <c r="O287" s="39"/>
      <c r="P287" s="39"/>
      <c r="Q287" s="39"/>
      <c r="R287" s="39"/>
      <c r="S287" s="39">
        <v>55.77</v>
      </c>
      <c r="T287" s="39"/>
      <c r="U287" s="39"/>
      <c r="V287" s="39"/>
      <c r="W287" s="60"/>
    </row>
    <row r="288" spans="1:23" s="79" customFormat="1" ht="51" x14ac:dyDescent="0.2">
      <c r="A288" s="1" t="s">
        <v>89</v>
      </c>
      <c r="B288" s="2" t="s">
        <v>16</v>
      </c>
      <c r="C288" s="2" t="s">
        <v>90</v>
      </c>
      <c r="D288" s="2" t="s">
        <v>91</v>
      </c>
      <c r="E288" s="2">
        <v>2022</v>
      </c>
      <c r="F288" s="2" t="s">
        <v>1791</v>
      </c>
      <c r="G288" s="2" t="s">
        <v>3095</v>
      </c>
      <c r="H288" s="2" t="s">
        <v>3092</v>
      </c>
      <c r="I288" s="1" t="s">
        <v>14</v>
      </c>
      <c r="J288" s="1" t="s">
        <v>3441</v>
      </c>
      <c r="K288" s="17"/>
      <c r="L288" s="54">
        <v>0.38240000000000002</v>
      </c>
      <c r="M288" s="39"/>
      <c r="N288" s="39"/>
      <c r="O288" s="39"/>
      <c r="P288" s="39"/>
      <c r="Q288" s="39"/>
      <c r="R288" s="39"/>
      <c r="S288" s="39">
        <v>69.44</v>
      </c>
      <c r="T288" s="39"/>
      <c r="U288" s="39"/>
      <c r="V288" s="39"/>
      <c r="W288" s="60"/>
    </row>
    <row r="289" spans="1:23" s="79" customFormat="1" ht="38.25" x14ac:dyDescent="0.2">
      <c r="A289" s="1" t="s">
        <v>89</v>
      </c>
      <c r="B289" s="2" t="s">
        <v>16</v>
      </c>
      <c r="C289" s="2" t="s">
        <v>90</v>
      </c>
      <c r="D289" s="2" t="s">
        <v>91</v>
      </c>
      <c r="E289" s="2">
        <v>2022</v>
      </c>
      <c r="F289" s="2" t="s">
        <v>311</v>
      </c>
      <c r="G289" s="2" t="s">
        <v>3095</v>
      </c>
      <c r="H289" s="2" t="s">
        <v>3092</v>
      </c>
      <c r="I289" s="1" t="s">
        <v>14</v>
      </c>
      <c r="J289" s="1" t="s">
        <v>3442</v>
      </c>
      <c r="K289" s="17"/>
      <c r="L289" s="54">
        <v>0.38</v>
      </c>
      <c r="M289" s="39"/>
      <c r="N289" s="39"/>
      <c r="O289" s="39"/>
      <c r="P289" s="39"/>
      <c r="Q289" s="39"/>
      <c r="R289" s="39"/>
      <c r="S289" s="39">
        <v>42.76</v>
      </c>
      <c r="T289" s="39"/>
      <c r="U289" s="39"/>
      <c r="V289" s="39"/>
      <c r="W289" s="60"/>
    </row>
    <row r="290" spans="1:23" s="79" customFormat="1" ht="51" x14ac:dyDescent="0.2">
      <c r="A290" s="1" t="s">
        <v>89</v>
      </c>
      <c r="B290" s="2" t="s">
        <v>16</v>
      </c>
      <c r="C290" s="2" t="s">
        <v>90</v>
      </c>
      <c r="D290" s="2" t="s">
        <v>91</v>
      </c>
      <c r="E290" s="2">
        <v>2022</v>
      </c>
      <c r="F290" s="2" t="s">
        <v>1794</v>
      </c>
      <c r="G290" s="2" t="s">
        <v>3095</v>
      </c>
      <c r="H290" s="2" t="s">
        <v>3092</v>
      </c>
      <c r="I290" s="1" t="s">
        <v>14</v>
      </c>
      <c r="J290" s="1" t="s">
        <v>3443</v>
      </c>
      <c r="K290" s="17"/>
      <c r="L290" s="54">
        <v>0.36</v>
      </c>
      <c r="M290" s="39"/>
      <c r="N290" s="39"/>
      <c r="O290" s="39"/>
      <c r="P290" s="39"/>
      <c r="Q290" s="39"/>
      <c r="R290" s="39"/>
      <c r="S290" s="39">
        <v>56.85</v>
      </c>
      <c r="T290" s="39"/>
      <c r="U290" s="39"/>
      <c r="V290" s="39"/>
      <c r="W290" s="60"/>
    </row>
    <row r="291" spans="1:23" s="79" customFormat="1" ht="51" x14ac:dyDescent="0.2">
      <c r="A291" s="1" t="s">
        <v>89</v>
      </c>
      <c r="B291" s="2" t="s">
        <v>16</v>
      </c>
      <c r="C291" s="2" t="s">
        <v>90</v>
      </c>
      <c r="D291" s="2" t="s">
        <v>91</v>
      </c>
      <c r="E291" s="2">
        <v>2022</v>
      </c>
      <c r="F291" s="2" t="s">
        <v>1796</v>
      </c>
      <c r="G291" s="2" t="s">
        <v>3095</v>
      </c>
      <c r="H291" s="2" t="s">
        <v>3092</v>
      </c>
      <c r="I291" s="1" t="s">
        <v>14</v>
      </c>
      <c r="J291" s="1" t="s">
        <v>3444</v>
      </c>
      <c r="K291" s="17"/>
      <c r="L291" s="54">
        <v>0.34899999999999998</v>
      </c>
      <c r="M291" s="39"/>
      <c r="N291" s="39"/>
      <c r="O291" s="39"/>
      <c r="P291" s="39"/>
      <c r="Q291" s="39"/>
      <c r="R291" s="39"/>
      <c r="S291" s="39">
        <v>56.03</v>
      </c>
      <c r="T291" s="39"/>
      <c r="U291" s="39"/>
      <c r="V291" s="39"/>
      <c r="W291" s="60"/>
    </row>
    <row r="292" spans="1:23" s="79" customFormat="1" ht="51" x14ac:dyDescent="0.2">
      <c r="A292" s="1" t="s">
        <v>89</v>
      </c>
      <c r="B292" s="2" t="s">
        <v>16</v>
      </c>
      <c r="C292" s="2" t="s">
        <v>90</v>
      </c>
      <c r="D292" s="2" t="s">
        <v>91</v>
      </c>
      <c r="E292" s="2">
        <v>2022</v>
      </c>
      <c r="F292" s="2" t="s">
        <v>1798</v>
      </c>
      <c r="G292" s="2" t="s">
        <v>3095</v>
      </c>
      <c r="H292" s="2" t="s">
        <v>3092</v>
      </c>
      <c r="I292" s="1" t="s">
        <v>14</v>
      </c>
      <c r="J292" s="1" t="s">
        <v>3445</v>
      </c>
      <c r="K292" s="17"/>
      <c r="L292" s="54">
        <v>0.35120000000000001</v>
      </c>
      <c r="M292" s="39"/>
      <c r="N292" s="39"/>
      <c r="O292" s="39"/>
      <c r="P292" s="39"/>
      <c r="Q292" s="39"/>
      <c r="R292" s="39"/>
      <c r="S292" s="39">
        <v>78.69</v>
      </c>
      <c r="T292" s="39"/>
      <c r="U292" s="39"/>
      <c r="V292" s="39"/>
      <c r="W292" s="60"/>
    </row>
    <row r="293" spans="1:23" s="79" customFormat="1" ht="25.5" x14ac:dyDescent="0.2">
      <c r="A293" s="1" t="s">
        <v>317</v>
      </c>
      <c r="B293" s="2" t="s">
        <v>318</v>
      </c>
      <c r="C293" s="2" t="s">
        <v>90</v>
      </c>
      <c r="D293" s="2" t="s">
        <v>91</v>
      </c>
      <c r="E293" s="2">
        <v>2022</v>
      </c>
      <c r="F293" s="2" t="s">
        <v>1796</v>
      </c>
      <c r="G293" s="2" t="s">
        <v>3092</v>
      </c>
      <c r="H293" s="2" t="s">
        <v>3093</v>
      </c>
      <c r="I293" s="1" t="s">
        <v>3446</v>
      </c>
      <c r="J293" s="1" t="s">
        <v>14</v>
      </c>
      <c r="K293" s="17"/>
      <c r="L293" s="54" t="s">
        <v>1670</v>
      </c>
      <c r="M293" s="39"/>
      <c r="N293" s="39"/>
      <c r="O293" s="39"/>
      <c r="P293" s="39"/>
      <c r="Q293" s="39"/>
      <c r="R293" s="39"/>
      <c r="S293" s="39"/>
      <c r="T293" s="39"/>
      <c r="U293" s="39"/>
      <c r="V293" s="39"/>
      <c r="W293" s="60"/>
    </row>
    <row r="294" spans="1:23" s="79" customFormat="1" ht="76.5" x14ac:dyDescent="0.2">
      <c r="A294" s="1" t="s">
        <v>3447</v>
      </c>
      <c r="B294" s="2" t="s">
        <v>196</v>
      </c>
      <c r="C294" s="2" t="s">
        <v>3448</v>
      </c>
      <c r="D294" s="2" t="s">
        <v>184</v>
      </c>
      <c r="E294" s="2">
        <v>2022</v>
      </c>
      <c r="F294" s="2" t="s">
        <v>1787</v>
      </c>
      <c r="G294" s="2" t="s">
        <v>3092</v>
      </c>
      <c r="H294" s="2" t="s">
        <v>3093</v>
      </c>
      <c r="I294" s="1" t="s">
        <v>3449</v>
      </c>
      <c r="J294" s="1" t="s">
        <v>14</v>
      </c>
      <c r="K294" s="17"/>
      <c r="L294" s="54"/>
      <c r="M294" s="39"/>
      <c r="N294" s="39"/>
      <c r="O294" s="39"/>
      <c r="P294" s="39"/>
      <c r="Q294" s="39"/>
      <c r="R294" s="39"/>
      <c r="S294" s="39"/>
      <c r="T294" s="39"/>
      <c r="U294" s="39"/>
      <c r="V294" s="39"/>
      <c r="W294" s="60" t="s">
        <v>1693</v>
      </c>
    </row>
    <row r="295" spans="1:23" s="79" customFormat="1" ht="76.5" x14ac:dyDescent="0.2">
      <c r="A295" s="1" t="s">
        <v>3447</v>
      </c>
      <c r="B295" s="2" t="s">
        <v>196</v>
      </c>
      <c r="C295" s="2" t="s">
        <v>3448</v>
      </c>
      <c r="D295" s="2" t="s">
        <v>184</v>
      </c>
      <c r="E295" s="2">
        <v>2022</v>
      </c>
      <c r="F295" s="2" t="s">
        <v>1789</v>
      </c>
      <c r="G295" s="2" t="s">
        <v>3092</v>
      </c>
      <c r="H295" s="2" t="s">
        <v>3093</v>
      </c>
      <c r="I295" s="1" t="s">
        <v>3450</v>
      </c>
      <c r="J295" s="1" t="s">
        <v>14</v>
      </c>
      <c r="K295" s="17"/>
      <c r="L295" s="54"/>
      <c r="M295" s="39"/>
      <c r="N295" s="39"/>
      <c r="O295" s="39"/>
      <c r="P295" s="39"/>
      <c r="Q295" s="39"/>
      <c r="R295" s="39"/>
      <c r="S295" s="39"/>
      <c r="T295" s="39"/>
      <c r="U295" s="39"/>
      <c r="V295" s="39"/>
      <c r="W295" s="60" t="s">
        <v>1693</v>
      </c>
    </row>
    <row r="296" spans="1:23" s="79" customFormat="1" ht="38.25" x14ac:dyDescent="0.2">
      <c r="A296" s="1" t="s">
        <v>3451</v>
      </c>
      <c r="B296" s="2" t="s">
        <v>196</v>
      </c>
      <c r="C296" s="2" t="s">
        <v>3452</v>
      </c>
      <c r="D296" s="2" t="s">
        <v>367</v>
      </c>
      <c r="E296" s="2">
        <v>2022</v>
      </c>
      <c r="F296" s="2" t="s">
        <v>1796</v>
      </c>
      <c r="G296" s="2" t="s">
        <v>3092</v>
      </c>
      <c r="H296" s="2" t="s">
        <v>3092</v>
      </c>
      <c r="I296" s="1" t="s">
        <v>3453</v>
      </c>
      <c r="J296" s="1" t="s">
        <v>3454</v>
      </c>
      <c r="K296" s="17"/>
      <c r="L296" s="54">
        <v>0.44</v>
      </c>
      <c r="M296" s="39"/>
      <c r="N296" s="39"/>
      <c r="O296" s="39"/>
      <c r="P296" s="39">
        <v>33.01</v>
      </c>
      <c r="Q296" s="39"/>
      <c r="R296" s="39"/>
      <c r="S296" s="39"/>
      <c r="T296" s="39"/>
      <c r="U296" s="39"/>
      <c r="V296" s="39"/>
      <c r="W296" s="60" t="s">
        <v>1737</v>
      </c>
    </row>
    <row r="297" spans="1:23" s="79" customFormat="1" ht="25.5" x14ac:dyDescent="0.2">
      <c r="A297" s="1" t="s">
        <v>142</v>
      </c>
      <c r="B297" s="2" t="s">
        <v>53</v>
      </c>
      <c r="C297" s="2" t="s">
        <v>143</v>
      </c>
      <c r="D297" s="2" t="s">
        <v>71</v>
      </c>
      <c r="E297" s="2">
        <v>2022</v>
      </c>
      <c r="F297" s="2" t="s">
        <v>1776</v>
      </c>
      <c r="G297" s="2" t="s">
        <v>3095</v>
      </c>
      <c r="H297" s="2" t="s">
        <v>3092</v>
      </c>
      <c r="I297" s="1" t="s">
        <v>14</v>
      </c>
      <c r="J297" s="1" t="s">
        <v>3455</v>
      </c>
      <c r="K297" s="17"/>
      <c r="L297" s="54">
        <v>0.16520000000000001</v>
      </c>
      <c r="M297" s="39">
        <v>84.3</v>
      </c>
      <c r="N297" s="39"/>
      <c r="O297" s="39"/>
      <c r="P297" s="39"/>
      <c r="Q297" s="39"/>
      <c r="R297" s="39"/>
      <c r="S297" s="39"/>
      <c r="T297" s="39"/>
      <c r="U297" s="39"/>
      <c r="V297" s="39"/>
      <c r="W297" s="60"/>
    </row>
    <row r="298" spans="1:23" s="79" customFormat="1" ht="38.25" x14ac:dyDescent="0.2">
      <c r="A298" s="1" t="s">
        <v>142</v>
      </c>
      <c r="B298" s="2" t="s">
        <v>53</v>
      </c>
      <c r="C298" s="2" t="s">
        <v>143</v>
      </c>
      <c r="D298" s="2" t="s">
        <v>71</v>
      </c>
      <c r="E298" s="2">
        <v>2022</v>
      </c>
      <c r="F298" s="2" t="s">
        <v>1779</v>
      </c>
      <c r="G298" s="2" t="s">
        <v>3095</v>
      </c>
      <c r="H298" s="2" t="s">
        <v>3092</v>
      </c>
      <c r="I298" s="1" t="s">
        <v>14</v>
      </c>
      <c r="J298" s="1" t="s">
        <v>3456</v>
      </c>
      <c r="K298" s="17"/>
      <c r="L298" s="54">
        <v>0.16139999999999999</v>
      </c>
      <c r="M298" s="39">
        <v>104.47</v>
      </c>
      <c r="N298" s="39"/>
      <c r="O298" s="39"/>
      <c r="P298" s="39"/>
      <c r="Q298" s="39"/>
      <c r="R298" s="39"/>
      <c r="S298" s="39"/>
      <c r="T298" s="39"/>
      <c r="U298" s="39"/>
      <c r="V298" s="39"/>
      <c r="W298" s="60"/>
    </row>
    <row r="299" spans="1:23" s="79" customFormat="1" ht="25.5" x14ac:dyDescent="0.2">
      <c r="A299" s="1" t="s">
        <v>142</v>
      </c>
      <c r="B299" s="2" t="s">
        <v>53</v>
      </c>
      <c r="C299" s="2" t="s">
        <v>143</v>
      </c>
      <c r="D299" s="2" t="s">
        <v>71</v>
      </c>
      <c r="E299" s="2">
        <v>2022</v>
      </c>
      <c r="F299" s="2" t="s">
        <v>1781</v>
      </c>
      <c r="G299" s="2" t="s">
        <v>3095</v>
      </c>
      <c r="H299" s="2" t="s">
        <v>3092</v>
      </c>
      <c r="I299" s="1" t="s">
        <v>14</v>
      </c>
      <c r="J299" s="1" t="s">
        <v>3457</v>
      </c>
      <c r="K299" s="17"/>
      <c r="L299" s="54">
        <v>0.16439999999999999</v>
      </c>
      <c r="M299" s="39">
        <v>136.88999999999999</v>
      </c>
      <c r="N299" s="39"/>
      <c r="O299" s="39"/>
      <c r="P299" s="39"/>
      <c r="Q299" s="39"/>
      <c r="R299" s="39"/>
      <c r="S299" s="39"/>
      <c r="T299" s="39"/>
      <c r="U299" s="39"/>
      <c r="V299" s="39"/>
      <c r="W299" s="60"/>
    </row>
    <row r="300" spans="1:23" s="79" customFormat="1" ht="25.5" x14ac:dyDescent="0.2">
      <c r="A300" s="1" t="s">
        <v>142</v>
      </c>
      <c r="B300" s="2" t="s">
        <v>53</v>
      </c>
      <c r="C300" s="2" t="s">
        <v>143</v>
      </c>
      <c r="D300" s="2" t="s">
        <v>71</v>
      </c>
      <c r="E300" s="2">
        <v>2022</v>
      </c>
      <c r="F300" s="2" t="s">
        <v>1783</v>
      </c>
      <c r="G300" s="2" t="s">
        <v>3095</v>
      </c>
      <c r="H300" s="2" t="s">
        <v>3092</v>
      </c>
      <c r="I300" s="1" t="s">
        <v>14</v>
      </c>
      <c r="J300" s="1" t="s">
        <v>3458</v>
      </c>
      <c r="K300" s="17"/>
      <c r="L300" s="54">
        <v>0.17960000000000001</v>
      </c>
      <c r="M300" s="39">
        <v>102.24</v>
      </c>
      <c r="N300" s="39"/>
      <c r="O300" s="39"/>
      <c r="P300" s="39"/>
      <c r="Q300" s="39"/>
      <c r="R300" s="39"/>
      <c r="S300" s="39"/>
      <c r="T300" s="39"/>
      <c r="U300" s="39"/>
      <c r="V300" s="39"/>
      <c r="W300" s="60"/>
    </row>
    <row r="301" spans="1:23" s="79" customFormat="1" ht="89.25" x14ac:dyDescent="0.2">
      <c r="A301" s="1" t="s">
        <v>142</v>
      </c>
      <c r="B301" s="2" t="s">
        <v>53</v>
      </c>
      <c r="C301" s="2" t="s">
        <v>143</v>
      </c>
      <c r="D301" s="2" t="s">
        <v>71</v>
      </c>
      <c r="E301" s="2">
        <v>2022</v>
      </c>
      <c r="F301" s="2" t="s">
        <v>1785</v>
      </c>
      <c r="G301" s="2" t="s">
        <v>3095</v>
      </c>
      <c r="H301" s="2" t="s">
        <v>3092</v>
      </c>
      <c r="I301" s="1" t="s">
        <v>14</v>
      </c>
      <c r="J301" s="1" t="s">
        <v>3459</v>
      </c>
      <c r="K301" s="17"/>
      <c r="L301" s="54">
        <v>0.16600000000000001</v>
      </c>
      <c r="M301" s="39">
        <v>42.35</v>
      </c>
      <c r="N301" s="39"/>
      <c r="O301" s="39">
        <v>39.22</v>
      </c>
      <c r="P301" s="39"/>
      <c r="Q301" s="39"/>
      <c r="R301" s="39"/>
      <c r="S301" s="39"/>
      <c r="T301" s="39"/>
      <c r="U301" s="39"/>
      <c r="V301" s="39"/>
      <c r="W301" s="60"/>
    </row>
    <row r="302" spans="1:23" s="79" customFormat="1" ht="89.25" x14ac:dyDescent="0.2">
      <c r="A302" s="1" t="s">
        <v>142</v>
      </c>
      <c r="B302" s="2" t="s">
        <v>53</v>
      </c>
      <c r="C302" s="2" t="s">
        <v>143</v>
      </c>
      <c r="D302" s="2" t="s">
        <v>71</v>
      </c>
      <c r="E302" s="2">
        <v>2022</v>
      </c>
      <c r="F302" s="2" t="s">
        <v>1787</v>
      </c>
      <c r="G302" s="2" t="s">
        <v>3095</v>
      </c>
      <c r="H302" s="2" t="s">
        <v>3092</v>
      </c>
      <c r="I302" s="1" t="s">
        <v>14</v>
      </c>
      <c r="J302" s="1" t="s">
        <v>3460</v>
      </c>
      <c r="K302" s="17"/>
      <c r="L302" s="54">
        <v>0.18629999999999999</v>
      </c>
      <c r="M302" s="39">
        <v>26.92</v>
      </c>
      <c r="N302" s="39"/>
      <c r="O302" s="39">
        <v>90.43</v>
      </c>
      <c r="P302" s="39"/>
      <c r="Q302" s="39"/>
      <c r="R302" s="39"/>
      <c r="S302" s="39"/>
      <c r="T302" s="39"/>
      <c r="U302" s="39"/>
      <c r="V302" s="39"/>
      <c r="W302" s="60"/>
    </row>
    <row r="303" spans="1:23" s="79" customFormat="1" ht="38.25" x14ac:dyDescent="0.2">
      <c r="A303" s="1" t="s">
        <v>142</v>
      </c>
      <c r="B303" s="2" t="s">
        <v>53</v>
      </c>
      <c r="C303" s="2" t="s">
        <v>143</v>
      </c>
      <c r="D303" s="2" t="s">
        <v>71</v>
      </c>
      <c r="E303" s="2">
        <v>2022</v>
      </c>
      <c r="F303" s="2" t="s">
        <v>1789</v>
      </c>
      <c r="G303" s="2" t="s">
        <v>3095</v>
      </c>
      <c r="H303" s="2" t="s">
        <v>3092</v>
      </c>
      <c r="I303" s="1" t="s">
        <v>14</v>
      </c>
      <c r="J303" s="1" t="s">
        <v>3461</v>
      </c>
      <c r="K303" s="17"/>
      <c r="L303" s="54">
        <v>0.17130000000000001</v>
      </c>
      <c r="M303" s="39"/>
      <c r="N303" s="39"/>
      <c r="O303" s="39">
        <v>82.43</v>
      </c>
      <c r="P303" s="39"/>
      <c r="Q303" s="39"/>
      <c r="R303" s="39"/>
      <c r="S303" s="39"/>
      <c r="T303" s="39"/>
      <c r="U303" s="39"/>
      <c r="V303" s="39"/>
      <c r="W303" s="60"/>
    </row>
    <row r="304" spans="1:23" s="79" customFormat="1" ht="114.75" x14ac:dyDescent="0.2">
      <c r="A304" s="1" t="s">
        <v>142</v>
      </c>
      <c r="B304" s="2" t="s">
        <v>53</v>
      </c>
      <c r="C304" s="2" t="s">
        <v>143</v>
      </c>
      <c r="D304" s="2" t="s">
        <v>71</v>
      </c>
      <c r="E304" s="2">
        <v>2022</v>
      </c>
      <c r="F304" s="2" t="s">
        <v>1791</v>
      </c>
      <c r="G304" s="2" t="s">
        <v>3095</v>
      </c>
      <c r="H304" s="2" t="s">
        <v>3092</v>
      </c>
      <c r="I304" s="1" t="s">
        <v>14</v>
      </c>
      <c r="J304" s="1" t="s">
        <v>3462</v>
      </c>
      <c r="K304" s="17"/>
      <c r="L304" s="54">
        <v>0.1656</v>
      </c>
      <c r="M304" s="39">
        <v>10.32</v>
      </c>
      <c r="N304" s="39"/>
      <c r="O304" s="39">
        <f>41.97+45.38</f>
        <v>87.35</v>
      </c>
      <c r="P304" s="39"/>
      <c r="Q304" s="39"/>
      <c r="R304" s="39"/>
      <c r="S304" s="39"/>
      <c r="T304" s="39"/>
      <c r="U304" s="39"/>
      <c r="V304" s="39"/>
      <c r="W304" s="60"/>
    </row>
    <row r="305" spans="1:23" s="79" customFormat="1" ht="25.5" x14ac:dyDescent="0.2">
      <c r="A305" s="1" t="s">
        <v>142</v>
      </c>
      <c r="B305" s="2" t="s">
        <v>53</v>
      </c>
      <c r="C305" s="2" t="s">
        <v>143</v>
      </c>
      <c r="D305" s="2" t="s">
        <v>71</v>
      </c>
      <c r="E305" s="2">
        <v>2022</v>
      </c>
      <c r="F305" s="2" t="s">
        <v>311</v>
      </c>
      <c r="G305" s="2" t="s">
        <v>3095</v>
      </c>
      <c r="H305" s="2" t="s">
        <v>3092</v>
      </c>
      <c r="I305" s="1" t="s">
        <v>14</v>
      </c>
      <c r="J305" s="1" t="s">
        <v>3463</v>
      </c>
      <c r="K305" s="17"/>
      <c r="L305" s="54">
        <v>0.18859999999999999</v>
      </c>
      <c r="M305" s="39"/>
      <c r="N305" s="39"/>
      <c r="O305" s="39">
        <v>110.97</v>
      </c>
      <c r="P305" s="39"/>
      <c r="Q305" s="39"/>
      <c r="R305" s="39"/>
      <c r="S305" s="39"/>
      <c r="T305" s="39"/>
      <c r="U305" s="39"/>
      <c r="V305" s="39"/>
      <c r="W305" s="60"/>
    </row>
    <row r="306" spans="1:23" s="79" customFormat="1" ht="25.5" x14ac:dyDescent="0.2">
      <c r="A306" s="1" t="s">
        <v>142</v>
      </c>
      <c r="B306" s="2" t="s">
        <v>53</v>
      </c>
      <c r="C306" s="2" t="s">
        <v>143</v>
      </c>
      <c r="D306" s="2" t="s">
        <v>71</v>
      </c>
      <c r="E306" s="2">
        <v>2022</v>
      </c>
      <c r="F306" s="2" t="s">
        <v>1794</v>
      </c>
      <c r="G306" s="2" t="s">
        <v>3095</v>
      </c>
      <c r="H306" s="2" t="s">
        <v>3092</v>
      </c>
      <c r="I306" s="1" t="s">
        <v>14</v>
      </c>
      <c r="J306" s="1" t="s">
        <v>3464</v>
      </c>
      <c r="K306" s="17"/>
      <c r="L306" s="54">
        <v>0.1759</v>
      </c>
      <c r="M306" s="39"/>
      <c r="N306" s="39"/>
      <c r="O306" s="39">
        <v>90.07</v>
      </c>
      <c r="P306" s="39"/>
      <c r="Q306" s="39"/>
      <c r="R306" s="39"/>
      <c r="S306" s="39"/>
      <c r="T306" s="39"/>
      <c r="U306" s="39"/>
      <c r="V306" s="39"/>
      <c r="W306" s="60"/>
    </row>
    <row r="307" spans="1:23" s="79" customFormat="1" ht="25.5" x14ac:dyDescent="0.2">
      <c r="A307" s="1" t="s">
        <v>142</v>
      </c>
      <c r="B307" s="2" t="s">
        <v>53</v>
      </c>
      <c r="C307" s="2" t="s">
        <v>143</v>
      </c>
      <c r="D307" s="2" t="s">
        <v>71</v>
      </c>
      <c r="E307" s="2">
        <v>2022</v>
      </c>
      <c r="F307" s="2" t="s">
        <v>1796</v>
      </c>
      <c r="G307" s="2" t="s">
        <v>3095</v>
      </c>
      <c r="H307" s="2" t="s">
        <v>3092</v>
      </c>
      <c r="I307" s="1" t="s">
        <v>14</v>
      </c>
      <c r="J307" s="1" t="s">
        <v>3465</v>
      </c>
      <c r="K307" s="17"/>
      <c r="L307" s="54">
        <v>0.15939999999999999</v>
      </c>
      <c r="M307" s="39">
        <v>87.85</v>
      </c>
      <c r="N307" s="39"/>
      <c r="O307" s="39"/>
      <c r="P307" s="39"/>
      <c r="Q307" s="39"/>
      <c r="R307" s="39"/>
      <c r="S307" s="39"/>
      <c r="T307" s="39"/>
      <c r="U307" s="39"/>
      <c r="V307" s="39"/>
      <c r="W307" s="60"/>
    </row>
    <row r="308" spans="1:23" s="79" customFormat="1" ht="25.5" x14ac:dyDescent="0.2">
      <c r="A308" s="1" t="s">
        <v>142</v>
      </c>
      <c r="B308" s="2" t="s">
        <v>53</v>
      </c>
      <c r="C308" s="2" t="s">
        <v>143</v>
      </c>
      <c r="D308" s="2" t="s">
        <v>71</v>
      </c>
      <c r="E308" s="2">
        <v>2022</v>
      </c>
      <c r="F308" s="2" t="s">
        <v>1798</v>
      </c>
      <c r="G308" s="2" t="s">
        <v>3095</v>
      </c>
      <c r="H308" s="2" t="s">
        <v>3092</v>
      </c>
      <c r="I308" s="1" t="s">
        <v>14</v>
      </c>
      <c r="J308" s="1" t="s">
        <v>3466</v>
      </c>
      <c r="K308" s="17"/>
      <c r="L308" s="54">
        <v>0.15859999999999999</v>
      </c>
      <c r="M308" s="39">
        <v>80.739999999999995</v>
      </c>
      <c r="N308" s="39"/>
      <c r="O308" s="39"/>
      <c r="P308" s="39"/>
      <c r="Q308" s="39"/>
      <c r="R308" s="39"/>
      <c r="S308" s="39"/>
      <c r="T308" s="39"/>
      <c r="U308" s="39"/>
      <c r="V308" s="39"/>
      <c r="W308" s="60"/>
    </row>
    <row r="309" spans="1:23" s="79" customFormat="1" ht="38.25" x14ac:dyDescent="0.2">
      <c r="A309" s="1" t="s">
        <v>3467</v>
      </c>
      <c r="B309" s="2" t="s">
        <v>301</v>
      </c>
      <c r="C309" s="2" t="s">
        <v>3468</v>
      </c>
      <c r="D309" s="2" t="s">
        <v>108</v>
      </c>
      <c r="E309" s="2">
        <v>2022</v>
      </c>
      <c r="F309" s="2" t="s">
        <v>1787</v>
      </c>
      <c r="G309" s="2" t="s">
        <v>3092</v>
      </c>
      <c r="H309" s="2" t="s">
        <v>3093</v>
      </c>
      <c r="I309" s="1" t="s">
        <v>3469</v>
      </c>
      <c r="J309" s="1" t="s">
        <v>14</v>
      </c>
      <c r="K309" s="17"/>
      <c r="L309" s="54" t="s">
        <v>1670</v>
      </c>
      <c r="M309" s="39"/>
      <c r="N309" s="39"/>
      <c r="O309" s="39"/>
      <c r="P309" s="39"/>
      <c r="Q309" s="39"/>
      <c r="R309" s="39"/>
      <c r="S309" s="39"/>
      <c r="T309" s="39"/>
      <c r="U309" s="39"/>
      <c r="V309" s="39"/>
      <c r="W309" s="60"/>
    </row>
    <row r="310" spans="1:23" s="79" customFormat="1" ht="63.75" x14ac:dyDescent="0.2">
      <c r="A310" s="1" t="s">
        <v>2203</v>
      </c>
      <c r="B310" s="2" t="s">
        <v>196</v>
      </c>
      <c r="C310" s="2" t="s">
        <v>2204</v>
      </c>
      <c r="D310" s="2" t="s">
        <v>71</v>
      </c>
      <c r="E310" s="2">
        <v>2022</v>
      </c>
      <c r="F310" s="2" t="s">
        <v>311</v>
      </c>
      <c r="G310" s="2" t="s">
        <v>3093</v>
      </c>
      <c r="H310" s="2" t="s">
        <v>3092</v>
      </c>
      <c r="I310" s="1" t="s">
        <v>14</v>
      </c>
      <c r="J310" s="1" t="s">
        <v>3470</v>
      </c>
      <c r="K310" s="17"/>
      <c r="L310" s="54">
        <v>0.26</v>
      </c>
      <c r="M310" s="39"/>
      <c r="N310" s="39"/>
      <c r="O310" s="3"/>
      <c r="P310" s="39"/>
      <c r="Q310" s="39"/>
      <c r="R310" s="39">
        <v>723.1</v>
      </c>
      <c r="S310" s="39"/>
      <c r="T310" s="39"/>
      <c r="U310" s="39"/>
      <c r="V310" s="39"/>
      <c r="W310" s="60"/>
    </row>
    <row r="311" spans="1:23" s="79" customFormat="1" ht="25.5" x14ac:dyDescent="0.2">
      <c r="A311" s="1" t="s">
        <v>447</v>
      </c>
      <c r="B311" s="2" t="s">
        <v>10</v>
      </c>
      <c r="C311" s="2" t="s">
        <v>448</v>
      </c>
      <c r="D311" s="2" t="s">
        <v>12</v>
      </c>
      <c r="E311" s="2">
        <v>2022</v>
      </c>
      <c r="F311" s="2" t="s">
        <v>1776</v>
      </c>
      <c r="G311" s="2" t="s">
        <v>3095</v>
      </c>
      <c r="H311" s="2" t="s">
        <v>3092</v>
      </c>
      <c r="I311" s="1" t="s">
        <v>14</v>
      </c>
      <c r="J311" s="1" t="s">
        <v>3471</v>
      </c>
      <c r="K311" s="17"/>
      <c r="L311" s="54"/>
      <c r="M311" s="39"/>
      <c r="N311" s="39"/>
      <c r="O311" s="39"/>
      <c r="P311" s="39"/>
      <c r="Q311" s="39"/>
      <c r="R311" s="39"/>
      <c r="S311" s="39"/>
      <c r="T311" s="39"/>
      <c r="U311" s="39"/>
      <c r="V311" s="39"/>
      <c r="W311" s="60" t="s">
        <v>1735</v>
      </c>
    </row>
    <row r="312" spans="1:23" s="79" customFormat="1" ht="25.5" x14ac:dyDescent="0.2">
      <c r="A312" s="1" t="s">
        <v>447</v>
      </c>
      <c r="B312" s="2" t="s">
        <v>10</v>
      </c>
      <c r="C312" s="2" t="s">
        <v>448</v>
      </c>
      <c r="D312" s="2" t="s">
        <v>12</v>
      </c>
      <c r="E312" s="2">
        <v>2022</v>
      </c>
      <c r="F312" s="2" t="s">
        <v>1779</v>
      </c>
      <c r="G312" s="2" t="s">
        <v>3095</v>
      </c>
      <c r="H312" s="2" t="s">
        <v>3092</v>
      </c>
      <c r="I312" s="1" t="s">
        <v>14</v>
      </c>
      <c r="J312" s="1" t="s">
        <v>3472</v>
      </c>
      <c r="K312" s="17"/>
      <c r="L312" s="54"/>
      <c r="M312" s="39"/>
      <c r="N312" s="39"/>
      <c r="O312" s="39"/>
      <c r="P312" s="39"/>
      <c r="Q312" s="39"/>
      <c r="R312" s="39"/>
      <c r="S312" s="39"/>
      <c r="T312" s="39"/>
      <c r="U312" s="39"/>
      <c r="V312" s="39"/>
      <c r="W312" s="60" t="s">
        <v>1735</v>
      </c>
    </row>
    <row r="313" spans="1:23" s="79" customFormat="1" ht="25.5" x14ac:dyDescent="0.2">
      <c r="A313" s="1" t="s">
        <v>447</v>
      </c>
      <c r="B313" s="2" t="s">
        <v>10</v>
      </c>
      <c r="C313" s="2" t="s">
        <v>448</v>
      </c>
      <c r="D313" s="2" t="s">
        <v>12</v>
      </c>
      <c r="E313" s="2">
        <v>2022</v>
      </c>
      <c r="F313" s="2" t="s">
        <v>1781</v>
      </c>
      <c r="G313" s="2" t="s">
        <v>3095</v>
      </c>
      <c r="H313" s="2" t="s">
        <v>3092</v>
      </c>
      <c r="I313" s="1" t="s">
        <v>14</v>
      </c>
      <c r="J313" s="1" t="s">
        <v>3473</v>
      </c>
      <c r="K313" s="17"/>
      <c r="L313" s="54"/>
      <c r="M313" s="39"/>
      <c r="N313" s="39"/>
      <c r="O313" s="39"/>
      <c r="P313" s="39"/>
      <c r="Q313" s="39"/>
      <c r="R313" s="39"/>
      <c r="S313" s="39"/>
      <c r="T313" s="39"/>
      <c r="U313" s="39"/>
      <c r="V313" s="39"/>
      <c r="W313" s="60" t="s">
        <v>1735</v>
      </c>
    </row>
    <row r="314" spans="1:23" s="79" customFormat="1" ht="25.5" x14ac:dyDescent="0.2">
      <c r="A314" s="1" t="s">
        <v>447</v>
      </c>
      <c r="B314" s="2" t="s">
        <v>10</v>
      </c>
      <c r="C314" s="2" t="s">
        <v>448</v>
      </c>
      <c r="D314" s="2" t="s">
        <v>12</v>
      </c>
      <c r="E314" s="2">
        <v>2022</v>
      </c>
      <c r="F314" s="2" t="s">
        <v>1783</v>
      </c>
      <c r="G314" s="2" t="s">
        <v>3095</v>
      </c>
      <c r="H314" s="2" t="s">
        <v>3092</v>
      </c>
      <c r="I314" s="1" t="s">
        <v>14</v>
      </c>
      <c r="J314" s="1" t="s">
        <v>3474</v>
      </c>
      <c r="K314" s="17"/>
      <c r="L314" s="54"/>
      <c r="M314" s="39"/>
      <c r="N314" s="39"/>
      <c r="O314" s="39"/>
      <c r="P314" s="39"/>
      <c r="Q314" s="39"/>
      <c r="R314" s="39"/>
      <c r="S314" s="39"/>
      <c r="T314" s="39"/>
      <c r="U314" s="39"/>
      <c r="V314" s="39"/>
      <c r="W314" s="60" t="s">
        <v>1735</v>
      </c>
    </row>
    <row r="315" spans="1:23" s="79" customFormat="1" ht="25.5" x14ac:dyDescent="0.2">
      <c r="A315" s="1" t="s">
        <v>447</v>
      </c>
      <c r="B315" s="2" t="s">
        <v>10</v>
      </c>
      <c r="C315" s="2" t="s">
        <v>448</v>
      </c>
      <c r="D315" s="2" t="s">
        <v>12</v>
      </c>
      <c r="E315" s="2">
        <v>2022</v>
      </c>
      <c r="F315" s="2" t="s">
        <v>1785</v>
      </c>
      <c r="G315" s="2" t="s">
        <v>3095</v>
      </c>
      <c r="H315" s="2" t="s">
        <v>3092</v>
      </c>
      <c r="I315" s="1" t="s">
        <v>14</v>
      </c>
      <c r="J315" s="1" t="s">
        <v>3475</v>
      </c>
      <c r="K315" s="17"/>
      <c r="L315" s="54"/>
      <c r="M315" s="39"/>
      <c r="N315" s="39"/>
      <c r="O315" s="39"/>
      <c r="P315" s="39"/>
      <c r="Q315" s="39"/>
      <c r="R315" s="39"/>
      <c r="S315" s="39"/>
      <c r="T315" s="39"/>
      <c r="U315" s="39"/>
      <c r="V315" s="39"/>
      <c r="W315" s="60" t="s">
        <v>1735</v>
      </c>
    </row>
    <row r="316" spans="1:23" s="79" customFormat="1" ht="25.5" x14ac:dyDescent="0.2">
      <c r="A316" s="1" t="s">
        <v>447</v>
      </c>
      <c r="B316" s="2" t="s">
        <v>10</v>
      </c>
      <c r="C316" s="2" t="s">
        <v>448</v>
      </c>
      <c r="D316" s="2" t="s">
        <v>12</v>
      </c>
      <c r="E316" s="2">
        <v>2022</v>
      </c>
      <c r="F316" s="2" t="s">
        <v>1787</v>
      </c>
      <c r="G316" s="2" t="s">
        <v>3095</v>
      </c>
      <c r="H316" s="2" t="s">
        <v>3092</v>
      </c>
      <c r="I316" s="1" t="s">
        <v>14</v>
      </c>
      <c r="J316" s="1" t="s">
        <v>3476</v>
      </c>
      <c r="K316" s="17"/>
      <c r="L316" s="54"/>
      <c r="M316" s="39"/>
      <c r="N316" s="39"/>
      <c r="O316" s="39"/>
      <c r="P316" s="39"/>
      <c r="Q316" s="39"/>
      <c r="R316" s="39"/>
      <c r="S316" s="39"/>
      <c r="T316" s="39"/>
      <c r="U316" s="39"/>
      <c r="V316" s="39"/>
      <c r="W316" s="60" t="s">
        <v>1735</v>
      </c>
    </row>
    <row r="317" spans="1:23" s="79" customFormat="1" ht="25.5" x14ac:dyDescent="0.2">
      <c r="A317" s="1" t="s">
        <v>447</v>
      </c>
      <c r="B317" s="2" t="s">
        <v>10</v>
      </c>
      <c r="C317" s="2" t="s">
        <v>448</v>
      </c>
      <c r="D317" s="2" t="s">
        <v>12</v>
      </c>
      <c r="E317" s="2">
        <v>2022</v>
      </c>
      <c r="F317" s="2" t="s">
        <v>1789</v>
      </c>
      <c r="G317" s="2" t="s">
        <v>3095</v>
      </c>
      <c r="H317" s="2" t="s">
        <v>3092</v>
      </c>
      <c r="I317" s="1" t="s">
        <v>14</v>
      </c>
      <c r="J317" s="1" t="s">
        <v>3477</v>
      </c>
      <c r="K317" s="17"/>
      <c r="L317" s="54"/>
      <c r="M317" s="39"/>
      <c r="N317" s="39"/>
      <c r="O317" s="39"/>
      <c r="P317" s="39"/>
      <c r="Q317" s="39"/>
      <c r="R317" s="39"/>
      <c r="S317" s="39"/>
      <c r="T317" s="39"/>
      <c r="U317" s="39"/>
      <c r="V317" s="39"/>
      <c r="W317" s="60" t="s">
        <v>1735</v>
      </c>
    </row>
    <row r="318" spans="1:23" s="79" customFormat="1" ht="25.5" x14ac:dyDescent="0.2">
      <c r="A318" s="1" t="s">
        <v>447</v>
      </c>
      <c r="B318" s="2" t="s">
        <v>10</v>
      </c>
      <c r="C318" s="2" t="s">
        <v>448</v>
      </c>
      <c r="D318" s="2" t="s">
        <v>12</v>
      </c>
      <c r="E318" s="2">
        <v>2022</v>
      </c>
      <c r="F318" s="2" t="s">
        <v>1791</v>
      </c>
      <c r="G318" s="2" t="s">
        <v>3095</v>
      </c>
      <c r="H318" s="2" t="s">
        <v>3092</v>
      </c>
      <c r="I318" s="1" t="s">
        <v>14</v>
      </c>
      <c r="J318" s="1" t="s">
        <v>3478</v>
      </c>
      <c r="K318" s="17"/>
      <c r="L318" s="54"/>
      <c r="M318" s="39"/>
      <c r="N318" s="39"/>
      <c r="O318" s="39"/>
      <c r="P318" s="39"/>
      <c r="Q318" s="39"/>
      <c r="R318" s="39"/>
      <c r="S318" s="39"/>
      <c r="T318" s="39"/>
      <c r="U318" s="39"/>
      <c r="V318" s="39"/>
      <c r="W318" s="60" t="s">
        <v>1735</v>
      </c>
    </row>
    <row r="319" spans="1:23" s="79" customFormat="1" ht="38.25" x14ac:dyDescent="0.2">
      <c r="A319" s="1" t="s">
        <v>447</v>
      </c>
      <c r="B319" s="2" t="s">
        <v>10</v>
      </c>
      <c r="C319" s="2" t="s">
        <v>448</v>
      </c>
      <c r="D319" s="2" t="s">
        <v>12</v>
      </c>
      <c r="E319" s="2">
        <v>2022</v>
      </c>
      <c r="F319" s="2" t="s">
        <v>311</v>
      </c>
      <c r="G319" s="2" t="s">
        <v>3095</v>
      </c>
      <c r="H319" s="2" t="s">
        <v>3092</v>
      </c>
      <c r="I319" s="1" t="s">
        <v>14</v>
      </c>
      <c r="J319" s="1" t="s">
        <v>3479</v>
      </c>
      <c r="K319" s="17"/>
      <c r="L319" s="54"/>
      <c r="M319" s="39"/>
      <c r="N319" s="39"/>
      <c r="O319" s="39"/>
      <c r="P319" s="39"/>
      <c r="Q319" s="39"/>
      <c r="R319" s="39"/>
      <c r="S319" s="39"/>
      <c r="T319" s="39"/>
      <c r="U319" s="39"/>
      <c r="V319" s="39"/>
      <c r="W319" s="60" t="s">
        <v>1735</v>
      </c>
    </row>
    <row r="320" spans="1:23" s="79" customFormat="1" ht="25.5" x14ac:dyDescent="0.2">
      <c r="A320" s="1" t="s">
        <v>447</v>
      </c>
      <c r="B320" s="2" t="s">
        <v>10</v>
      </c>
      <c r="C320" s="2" t="s">
        <v>448</v>
      </c>
      <c r="D320" s="2" t="s">
        <v>12</v>
      </c>
      <c r="E320" s="2">
        <v>2022</v>
      </c>
      <c r="F320" s="2" t="s">
        <v>1794</v>
      </c>
      <c r="G320" s="2" t="s">
        <v>3095</v>
      </c>
      <c r="H320" s="2" t="s">
        <v>3092</v>
      </c>
      <c r="I320" s="1" t="s">
        <v>14</v>
      </c>
      <c r="J320" s="1" t="s">
        <v>3480</v>
      </c>
      <c r="K320" s="17"/>
      <c r="L320" s="54"/>
      <c r="M320" s="39"/>
      <c r="N320" s="39"/>
      <c r="O320" s="39"/>
      <c r="P320" s="39"/>
      <c r="Q320" s="39"/>
      <c r="R320" s="39"/>
      <c r="S320" s="39"/>
      <c r="T320" s="39"/>
      <c r="U320" s="39"/>
      <c r="V320" s="39"/>
      <c r="W320" s="60" t="s">
        <v>1735</v>
      </c>
    </row>
    <row r="321" spans="1:23" s="79" customFormat="1" ht="25.5" x14ac:dyDescent="0.2">
      <c r="A321" s="1" t="s">
        <v>447</v>
      </c>
      <c r="B321" s="2" t="s">
        <v>10</v>
      </c>
      <c r="C321" s="2" t="s">
        <v>448</v>
      </c>
      <c r="D321" s="2" t="s">
        <v>12</v>
      </c>
      <c r="E321" s="2">
        <v>2022</v>
      </c>
      <c r="F321" s="2" t="s">
        <v>1796</v>
      </c>
      <c r="G321" s="2" t="s">
        <v>3095</v>
      </c>
      <c r="H321" s="2" t="s">
        <v>3092</v>
      </c>
      <c r="I321" s="1" t="s">
        <v>14</v>
      </c>
      <c r="J321" s="1" t="s">
        <v>3481</v>
      </c>
      <c r="K321" s="17"/>
      <c r="L321" s="54"/>
      <c r="M321" s="39"/>
      <c r="N321" s="39"/>
      <c r="O321" s="39"/>
      <c r="P321" s="39"/>
      <c r="Q321" s="39"/>
      <c r="R321" s="39"/>
      <c r="S321" s="39"/>
      <c r="T321" s="39"/>
      <c r="U321" s="39"/>
      <c r="V321" s="39"/>
      <c r="W321" s="60" t="s">
        <v>1735</v>
      </c>
    </row>
    <row r="322" spans="1:23" s="79" customFormat="1" ht="63.75" x14ac:dyDescent="0.2">
      <c r="A322" s="1" t="s">
        <v>22</v>
      </c>
      <c r="B322" s="2" t="s">
        <v>16</v>
      </c>
      <c r="C322" s="2" t="s">
        <v>20</v>
      </c>
      <c r="D322" s="2" t="s">
        <v>21</v>
      </c>
      <c r="E322" s="2">
        <v>2022</v>
      </c>
      <c r="F322" s="2" t="s">
        <v>1776</v>
      </c>
      <c r="G322" s="2" t="s">
        <v>3095</v>
      </c>
      <c r="H322" s="2" t="s">
        <v>3092</v>
      </c>
      <c r="I322" s="1" t="s">
        <v>14</v>
      </c>
      <c r="J322" s="1" t="s">
        <v>3482</v>
      </c>
      <c r="K322" s="17"/>
      <c r="L322" s="54">
        <v>0.28100000000000003</v>
      </c>
      <c r="M322" s="39"/>
      <c r="N322" s="39"/>
      <c r="O322" s="39"/>
      <c r="P322" s="39"/>
      <c r="Q322" s="39"/>
      <c r="R322" s="39"/>
      <c r="S322" s="39">
        <v>427</v>
      </c>
      <c r="T322" s="39"/>
      <c r="U322" s="39"/>
      <c r="V322" s="39"/>
      <c r="W322" s="60"/>
    </row>
    <row r="323" spans="1:23" s="79" customFormat="1" ht="63.75" x14ac:dyDescent="0.2">
      <c r="A323" s="1" t="s">
        <v>22</v>
      </c>
      <c r="B323" s="2" t="s">
        <v>16</v>
      </c>
      <c r="C323" s="2" t="s">
        <v>20</v>
      </c>
      <c r="D323" s="2" t="s">
        <v>21</v>
      </c>
      <c r="E323" s="2">
        <v>2022</v>
      </c>
      <c r="F323" s="2" t="s">
        <v>1779</v>
      </c>
      <c r="G323" s="2" t="s">
        <v>3095</v>
      </c>
      <c r="H323" s="2" t="s">
        <v>3092</v>
      </c>
      <c r="I323" s="1" t="s">
        <v>14</v>
      </c>
      <c r="J323" s="1" t="s">
        <v>3483</v>
      </c>
      <c r="K323" s="17"/>
      <c r="L323" s="54">
        <v>0.28799999999999998</v>
      </c>
      <c r="M323" s="39"/>
      <c r="N323" s="39"/>
      <c r="O323" s="39"/>
      <c r="P323" s="39"/>
      <c r="Q323" s="39"/>
      <c r="R323" s="39"/>
      <c r="S323" s="39">
        <v>470.1</v>
      </c>
      <c r="T323" s="39"/>
      <c r="U323" s="39"/>
      <c r="V323" s="39"/>
      <c r="W323" s="60"/>
    </row>
    <row r="324" spans="1:23" s="79" customFormat="1" ht="63.75" x14ac:dyDescent="0.2">
      <c r="A324" s="1" t="s">
        <v>22</v>
      </c>
      <c r="B324" s="2" t="s">
        <v>16</v>
      </c>
      <c r="C324" s="2" t="s">
        <v>20</v>
      </c>
      <c r="D324" s="2" t="s">
        <v>21</v>
      </c>
      <c r="E324" s="2">
        <v>2022</v>
      </c>
      <c r="F324" s="2" t="s">
        <v>1781</v>
      </c>
      <c r="G324" s="2" t="s">
        <v>3095</v>
      </c>
      <c r="H324" s="2" t="s">
        <v>3092</v>
      </c>
      <c r="I324" s="1" t="s">
        <v>14</v>
      </c>
      <c r="J324" s="1" t="s">
        <v>3484</v>
      </c>
      <c r="K324" s="17"/>
      <c r="L324" s="54">
        <v>0.313</v>
      </c>
      <c r="M324" s="39"/>
      <c r="N324" s="39"/>
      <c r="O324" s="39"/>
      <c r="P324" s="39"/>
      <c r="Q324" s="39"/>
      <c r="R324" s="39"/>
      <c r="S324" s="39">
        <v>424.7</v>
      </c>
      <c r="T324" s="39"/>
      <c r="U324" s="39"/>
      <c r="V324" s="39"/>
      <c r="W324" s="60"/>
    </row>
    <row r="325" spans="1:23" s="79" customFormat="1" ht="63.75" x14ac:dyDescent="0.2">
      <c r="A325" s="1" t="s">
        <v>22</v>
      </c>
      <c r="B325" s="2" t="s">
        <v>16</v>
      </c>
      <c r="C325" s="2" t="s">
        <v>20</v>
      </c>
      <c r="D325" s="2" t="s">
        <v>21</v>
      </c>
      <c r="E325" s="2">
        <v>2022</v>
      </c>
      <c r="F325" s="2" t="s">
        <v>1783</v>
      </c>
      <c r="G325" s="2" t="s">
        <v>3095</v>
      </c>
      <c r="H325" s="2" t="s">
        <v>3092</v>
      </c>
      <c r="I325" s="1" t="s">
        <v>14</v>
      </c>
      <c r="J325" s="1" t="s">
        <v>3485</v>
      </c>
      <c r="K325" s="17"/>
      <c r="L325" s="54">
        <v>0.34899999999999998</v>
      </c>
      <c r="M325" s="39"/>
      <c r="N325" s="39"/>
      <c r="O325" s="39"/>
      <c r="P325" s="39"/>
      <c r="Q325" s="39"/>
      <c r="R325" s="39"/>
      <c r="S325" s="39">
        <v>356.6</v>
      </c>
      <c r="T325" s="39"/>
      <c r="U325" s="39"/>
      <c r="V325" s="39"/>
      <c r="W325" s="60"/>
    </row>
    <row r="326" spans="1:23" s="79" customFormat="1" ht="63.75" x14ac:dyDescent="0.2">
      <c r="A326" s="1" t="s">
        <v>22</v>
      </c>
      <c r="B326" s="2" t="s">
        <v>16</v>
      </c>
      <c r="C326" s="2" t="s">
        <v>20</v>
      </c>
      <c r="D326" s="2" t="s">
        <v>21</v>
      </c>
      <c r="E326" s="2">
        <v>2022</v>
      </c>
      <c r="F326" s="2" t="s">
        <v>1785</v>
      </c>
      <c r="G326" s="2" t="s">
        <v>3095</v>
      </c>
      <c r="H326" s="2" t="s">
        <v>3092</v>
      </c>
      <c r="I326" s="1" t="s">
        <v>14</v>
      </c>
      <c r="J326" s="1" t="s">
        <v>3486</v>
      </c>
      <c r="K326" s="17"/>
      <c r="L326" s="54">
        <v>0.311</v>
      </c>
      <c r="M326" s="39"/>
      <c r="N326" s="39"/>
      <c r="O326" s="39"/>
      <c r="P326" s="39"/>
      <c r="Q326" s="39"/>
      <c r="R326" s="39"/>
      <c r="S326" s="39">
        <v>467.9</v>
      </c>
      <c r="T326" s="39"/>
      <c r="U326" s="39"/>
      <c r="V326" s="39"/>
      <c r="W326" s="60"/>
    </row>
    <row r="327" spans="1:23" s="79" customFormat="1" ht="63.75" x14ac:dyDescent="0.2">
      <c r="A327" s="1" t="s">
        <v>22</v>
      </c>
      <c r="B327" s="2" t="s">
        <v>16</v>
      </c>
      <c r="C327" s="2" t="s">
        <v>20</v>
      </c>
      <c r="D327" s="2" t="s">
        <v>21</v>
      </c>
      <c r="E327" s="2">
        <v>2022</v>
      </c>
      <c r="F327" s="2" t="s">
        <v>1787</v>
      </c>
      <c r="G327" s="2" t="s">
        <v>3095</v>
      </c>
      <c r="H327" s="2" t="s">
        <v>3092</v>
      </c>
      <c r="I327" s="1" t="s">
        <v>14</v>
      </c>
      <c r="J327" s="1" t="s">
        <v>3487</v>
      </c>
      <c r="K327" s="17"/>
      <c r="L327" s="54">
        <v>0.313</v>
      </c>
      <c r="M327" s="39"/>
      <c r="N327" s="39"/>
      <c r="O327" s="39"/>
      <c r="P327" s="39"/>
      <c r="Q327" s="39"/>
      <c r="R327" s="39"/>
      <c r="S327" s="39">
        <v>518.5</v>
      </c>
      <c r="T327" s="39"/>
      <c r="U327" s="39"/>
      <c r="V327" s="39"/>
      <c r="W327" s="60"/>
    </row>
    <row r="328" spans="1:23" s="79" customFormat="1" ht="63.75" x14ac:dyDescent="0.2">
      <c r="A328" s="1" t="s">
        <v>22</v>
      </c>
      <c r="B328" s="2" t="s">
        <v>16</v>
      </c>
      <c r="C328" s="2" t="s">
        <v>20</v>
      </c>
      <c r="D328" s="2" t="s">
        <v>21</v>
      </c>
      <c r="E328" s="2">
        <v>2022</v>
      </c>
      <c r="F328" s="2" t="s">
        <v>1791</v>
      </c>
      <c r="G328" s="2" t="s">
        <v>3095</v>
      </c>
      <c r="H328" s="2" t="s">
        <v>3092</v>
      </c>
      <c r="I328" s="1" t="s">
        <v>14</v>
      </c>
      <c r="J328" s="1" t="s">
        <v>3488</v>
      </c>
      <c r="K328" s="17"/>
      <c r="L328" s="54">
        <v>0.32600000000000001</v>
      </c>
      <c r="M328" s="39"/>
      <c r="N328" s="39"/>
      <c r="O328" s="39"/>
      <c r="P328" s="39"/>
      <c r="Q328" s="39"/>
      <c r="R328" s="39"/>
      <c r="S328" s="39">
        <v>493.9</v>
      </c>
      <c r="T328" s="39"/>
      <c r="U328" s="39"/>
      <c r="V328" s="39"/>
      <c r="W328" s="60"/>
    </row>
    <row r="329" spans="1:23" s="79" customFormat="1" ht="63.75" x14ac:dyDescent="0.2">
      <c r="A329" s="1" t="s">
        <v>22</v>
      </c>
      <c r="B329" s="2" t="s">
        <v>16</v>
      </c>
      <c r="C329" s="2" t="s">
        <v>20</v>
      </c>
      <c r="D329" s="2" t="s">
        <v>21</v>
      </c>
      <c r="E329" s="2">
        <v>2022</v>
      </c>
      <c r="F329" s="2" t="s">
        <v>311</v>
      </c>
      <c r="G329" s="2" t="s">
        <v>3095</v>
      </c>
      <c r="H329" s="2" t="s">
        <v>3092</v>
      </c>
      <c r="I329" s="1" t="s">
        <v>14</v>
      </c>
      <c r="J329" s="1" t="s">
        <v>3489</v>
      </c>
      <c r="K329" s="17"/>
      <c r="L329" s="54">
        <v>0.311</v>
      </c>
      <c r="M329" s="39"/>
      <c r="N329" s="39"/>
      <c r="O329" s="39"/>
      <c r="P329" s="39"/>
      <c r="Q329" s="39"/>
      <c r="R329" s="39"/>
      <c r="S329" s="39">
        <v>483.1</v>
      </c>
      <c r="T329" s="39"/>
      <c r="U329" s="39"/>
      <c r="V329" s="39"/>
      <c r="W329" s="60"/>
    </row>
    <row r="330" spans="1:23" s="79" customFormat="1" ht="63.75" x14ac:dyDescent="0.2">
      <c r="A330" s="1" t="s">
        <v>22</v>
      </c>
      <c r="B330" s="2" t="s">
        <v>16</v>
      </c>
      <c r="C330" s="2" t="s">
        <v>20</v>
      </c>
      <c r="D330" s="2" t="s">
        <v>21</v>
      </c>
      <c r="E330" s="2">
        <v>2022</v>
      </c>
      <c r="F330" s="2" t="s">
        <v>1794</v>
      </c>
      <c r="G330" s="2" t="s">
        <v>3095</v>
      </c>
      <c r="H330" s="2" t="s">
        <v>3092</v>
      </c>
      <c r="I330" s="1" t="s">
        <v>14</v>
      </c>
      <c r="J330" s="1" t="s">
        <v>3490</v>
      </c>
      <c r="K330" s="17"/>
      <c r="L330" s="54">
        <v>0.29599999999999999</v>
      </c>
      <c r="M330" s="39"/>
      <c r="N330" s="39"/>
      <c r="O330" s="39"/>
      <c r="P330" s="39"/>
      <c r="Q330" s="39"/>
      <c r="R330" s="39"/>
      <c r="S330" s="39">
        <v>435.38</v>
      </c>
      <c r="T330" s="39"/>
      <c r="U330" s="39"/>
      <c r="V330" s="39"/>
      <c r="W330" s="60"/>
    </row>
    <row r="331" spans="1:23" s="79" customFormat="1" ht="63.75" x14ac:dyDescent="0.2">
      <c r="A331" s="1" t="s">
        <v>22</v>
      </c>
      <c r="B331" s="2" t="s">
        <v>16</v>
      </c>
      <c r="C331" s="2" t="s">
        <v>20</v>
      </c>
      <c r="D331" s="2" t="s">
        <v>21</v>
      </c>
      <c r="E331" s="2">
        <v>2022</v>
      </c>
      <c r="F331" s="2" t="s">
        <v>1796</v>
      </c>
      <c r="G331" s="2" t="s">
        <v>3095</v>
      </c>
      <c r="H331" s="2" t="s">
        <v>3092</v>
      </c>
      <c r="I331" s="1" t="s">
        <v>14</v>
      </c>
      <c r="J331" s="1" t="s">
        <v>3491</v>
      </c>
      <c r="K331" s="17"/>
      <c r="L331" s="54">
        <v>0.29499999999999998</v>
      </c>
      <c r="M331" s="39"/>
      <c r="N331" s="39"/>
      <c r="O331" s="39"/>
      <c r="P331" s="39"/>
      <c r="Q331" s="39"/>
      <c r="R331" s="39"/>
      <c r="S331" s="39">
        <v>471.8</v>
      </c>
      <c r="T331" s="39"/>
      <c r="U331" s="39"/>
      <c r="V331" s="39"/>
      <c r="W331" s="60"/>
    </row>
    <row r="332" spans="1:23" s="79" customFormat="1" ht="63.75" x14ac:dyDescent="0.2">
      <c r="A332" s="1" t="s">
        <v>22</v>
      </c>
      <c r="B332" s="2" t="s">
        <v>16</v>
      </c>
      <c r="C332" s="2" t="s">
        <v>20</v>
      </c>
      <c r="D332" s="2" t="s">
        <v>21</v>
      </c>
      <c r="E332" s="2">
        <v>2022</v>
      </c>
      <c r="F332" s="2" t="s">
        <v>1798</v>
      </c>
      <c r="G332" s="2" t="s">
        <v>3095</v>
      </c>
      <c r="H332" s="2" t="s">
        <v>3092</v>
      </c>
      <c r="I332" s="1" t="s">
        <v>14</v>
      </c>
      <c r="J332" s="1" t="s">
        <v>3492</v>
      </c>
      <c r="K332" s="17"/>
      <c r="L332" s="54">
        <v>0.28000000000000003</v>
      </c>
      <c r="M332" s="39"/>
      <c r="N332" s="39"/>
      <c r="O332" s="39"/>
      <c r="P332" s="39"/>
      <c r="Q332" s="39"/>
      <c r="R332" s="39"/>
      <c r="S332" s="39">
        <v>448.18</v>
      </c>
      <c r="T332" s="39"/>
      <c r="U332" s="39"/>
      <c r="V332" s="39"/>
      <c r="W332" s="60"/>
    </row>
    <row r="333" spans="1:23" s="79" customFormat="1" ht="63.75" x14ac:dyDescent="0.2">
      <c r="A333" s="1" t="s">
        <v>19</v>
      </c>
      <c r="B333" s="2" t="s">
        <v>16</v>
      </c>
      <c r="C333" s="2" t="s">
        <v>20</v>
      </c>
      <c r="D333" s="2" t="s">
        <v>21</v>
      </c>
      <c r="E333" s="2">
        <v>2022</v>
      </c>
      <c r="F333" s="2" t="s">
        <v>1776</v>
      </c>
      <c r="G333" s="2" t="s">
        <v>3095</v>
      </c>
      <c r="H333" s="2" t="s">
        <v>3092</v>
      </c>
      <c r="I333" s="1" t="s">
        <v>14</v>
      </c>
      <c r="J333" s="1" t="s">
        <v>3493</v>
      </c>
      <c r="K333" s="17"/>
      <c r="L333" s="54">
        <v>0.28299999999999997</v>
      </c>
      <c r="M333" s="39"/>
      <c r="N333" s="39"/>
      <c r="O333" s="39"/>
      <c r="P333" s="39"/>
      <c r="Q333" s="39"/>
      <c r="R333" s="39"/>
      <c r="S333" s="39">
        <v>1243.47</v>
      </c>
      <c r="T333" s="39"/>
      <c r="U333" s="39"/>
      <c r="V333" s="39"/>
      <c r="W333" s="60"/>
    </row>
    <row r="334" spans="1:23" s="79" customFormat="1" ht="127.5" x14ac:dyDescent="0.2">
      <c r="A334" s="1" t="s">
        <v>19</v>
      </c>
      <c r="B334" s="2" t="s">
        <v>16</v>
      </c>
      <c r="C334" s="2" t="s">
        <v>20</v>
      </c>
      <c r="D334" s="2" t="s">
        <v>21</v>
      </c>
      <c r="E334" s="2">
        <v>2022</v>
      </c>
      <c r="F334" s="2" t="s">
        <v>1779</v>
      </c>
      <c r="G334" s="2" t="s">
        <v>3095</v>
      </c>
      <c r="H334" s="2" t="s">
        <v>3092</v>
      </c>
      <c r="I334" s="1" t="s">
        <v>14</v>
      </c>
      <c r="J334" s="1" t="s">
        <v>3494</v>
      </c>
      <c r="K334" s="17"/>
      <c r="L334" s="54" t="s">
        <v>3495</v>
      </c>
      <c r="M334" s="39"/>
      <c r="N334" s="39"/>
      <c r="O334" s="39"/>
      <c r="P334" s="39"/>
      <c r="Q334" s="39"/>
      <c r="R334" s="39"/>
      <c r="S334" s="39">
        <f>1116.3+14.6</f>
        <v>1130.8999999999999</v>
      </c>
      <c r="T334" s="39"/>
      <c r="U334" s="39"/>
      <c r="V334" s="39"/>
      <c r="W334" s="60"/>
    </row>
    <row r="335" spans="1:23" s="79" customFormat="1" ht="89.25" x14ac:dyDescent="0.2">
      <c r="A335" s="1" t="s">
        <v>19</v>
      </c>
      <c r="B335" s="2" t="s">
        <v>16</v>
      </c>
      <c r="C335" s="2" t="s">
        <v>20</v>
      </c>
      <c r="D335" s="2" t="s">
        <v>21</v>
      </c>
      <c r="E335" s="2">
        <v>2022</v>
      </c>
      <c r="F335" s="2" t="s">
        <v>1781</v>
      </c>
      <c r="G335" s="2" t="s">
        <v>3095</v>
      </c>
      <c r="H335" s="2" t="s">
        <v>3092</v>
      </c>
      <c r="I335" s="1" t="s">
        <v>14</v>
      </c>
      <c r="J335" s="1" t="s">
        <v>3496</v>
      </c>
      <c r="K335" s="17"/>
      <c r="L335" s="54" t="s">
        <v>3497</v>
      </c>
      <c r="M335" s="39"/>
      <c r="N335" s="39"/>
      <c r="O335" s="39"/>
      <c r="P335" s="39"/>
      <c r="Q335" s="39"/>
      <c r="R335" s="39"/>
      <c r="S335" s="39">
        <f>1072.15+17.83</f>
        <v>1089.98</v>
      </c>
      <c r="T335" s="39"/>
      <c r="U335" s="39"/>
      <c r="V335" s="39"/>
      <c r="W335" s="60"/>
    </row>
    <row r="336" spans="1:23" s="79" customFormat="1" ht="89.25" x14ac:dyDescent="0.2">
      <c r="A336" s="1" t="s">
        <v>19</v>
      </c>
      <c r="B336" s="2" t="s">
        <v>16</v>
      </c>
      <c r="C336" s="2" t="s">
        <v>20</v>
      </c>
      <c r="D336" s="2" t="s">
        <v>21</v>
      </c>
      <c r="E336" s="2">
        <v>2022</v>
      </c>
      <c r="F336" s="2" t="s">
        <v>1783</v>
      </c>
      <c r="G336" s="2" t="s">
        <v>3095</v>
      </c>
      <c r="H336" s="2" t="s">
        <v>3092</v>
      </c>
      <c r="I336" s="1" t="s">
        <v>14</v>
      </c>
      <c r="J336" s="1" t="s">
        <v>3498</v>
      </c>
      <c r="K336" s="17"/>
      <c r="L336" s="54" t="s">
        <v>3499</v>
      </c>
      <c r="M336" s="39"/>
      <c r="N336" s="39"/>
      <c r="O336" s="39"/>
      <c r="P336" s="39"/>
      <c r="Q336" s="39"/>
      <c r="R336" s="39"/>
      <c r="S336" s="39">
        <f>1057.77+9.27</f>
        <v>1067.04</v>
      </c>
      <c r="T336" s="39"/>
      <c r="U336" s="39"/>
      <c r="V336" s="39"/>
      <c r="W336" s="60"/>
    </row>
    <row r="337" spans="1:23" s="79" customFormat="1" ht="76.5" x14ac:dyDescent="0.2">
      <c r="A337" s="1" t="s">
        <v>19</v>
      </c>
      <c r="B337" s="2" t="s">
        <v>16</v>
      </c>
      <c r="C337" s="2" t="s">
        <v>20</v>
      </c>
      <c r="D337" s="2" t="s">
        <v>21</v>
      </c>
      <c r="E337" s="2">
        <v>2022</v>
      </c>
      <c r="F337" s="2" t="s">
        <v>1785</v>
      </c>
      <c r="G337" s="2" t="s">
        <v>3095</v>
      </c>
      <c r="H337" s="2" t="s">
        <v>3092</v>
      </c>
      <c r="I337" s="1" t="s">
        <v>14</v>
      </c>
      <c r="J337" s="1" t="s">
        <v>3500</v>
      </c>
      <c r="K337" s="17"/>
      <c r="L337" s="54" t="s">
        <v>3501</v>
      </c>
      <c r="M337" s="39"/>
      <c r="N337" s="39"/>
      <c r="O337" s="39"/>
      <c r="P337" s="39"/>
      <c r="Q337" s="39"/>
      <c r="R337" s="39"/>
      <c r="S337" s="39">
        <f>2060.7+19.5</f>
        <v>2080.1999999999998</v>
      </c>
      <c r="T337" s="39"/>
      <c r="U337" s="39"/>
      <c r="V337" s="39"/>
      <c r="W337" s="60"/>
    </row>
    <row r="338" spans="1:23" s="79" customFormat="1" ht="89.25" x14ac:dyDescent="0.2">
      <c r="A338" s="1" t="s">
        <v>19</v>
      </c>
      <c r="B338" s="2" t="s">
        <v>16</v>
      </c>
      <c r="C338" s="2" t="s">
        <v>20</v>
      </c>
      <c r="D338" s="2" t="s">
        <v>21</v>
      </c>
      <c r="E338" s="2">
        <v>2022</v>
      </c>
      <c r="F338" s="2" t="s">
        <v>1787</v>
      </c>
      <c r="G338" s="2" t="s">
        <v>3095</v>
      </c>
      <c r="H338" s="2" t="s">
        <v>3092</v>
      </c>
      <c r="I338" s="1" t="s">
        <v>14</v>
      </c>
      <c r="J338" s="1" t="s">
        <v>3502</v>
      </c>
      <c r="K338" s="17"/>
      <c r="L338" s="54" t="s">
        <v>3503</v>
      </c>
      <c r="M338" s="39"/>
      <c r="N338" s="39"/>
      <c r="O338" s="39"/>
      <c r="P338" s="39"/>
      <c r="Q338" s="39"/>
      <c r="R338" s="39"/>
      <c r="S338" s="39">
        <f>1654+17.72</f>
        <v>1671.72</v>
      </c>
      <c r="T338" s="39"/>
      <c r="U338" s="39"/>
      <c r="V338" s="39"/>
      <c r="W338" s="60"/>
    </row>
    <row r="339" spans="1:23" s="79" customFormat="1" ht="63.75" x14ac:dyDescent="0.2">
      <c r="A339" s="1" t="s">
        <v>19</v>
      </c>
      <c r="B339" s="2" t="s">
        <v>16</v>
      </c>
      <c r="C339" s="2" t="s">
        <v>20</v>
      </c>
      <c r="D339" s="2" t="s">
        <v>21</v>
      </c>
      <c r="E339" s="2">
        <v>2022</v>
      </c>
      <c r="F339" s="2" t="s">
        <v>1789</v>
      </c>
      <c r="G339" s="2" t="s">
        <v>3095</v>
      </c>
      <c r="H339" s="2" t="s">
        <v>3092</v>
      </c>
      <c r="I339" s="1" t="s">
        <v>14</v>
      </c>
      <c r="J339" s="1" t="s">
        <v>3504</v>
      </c>
      <c r="K339" s="17"/>
      <c r="L339" s="54">
        <v>0.27200000000000002</v>
      </c>
      <c r="M339" s="39"/>
      <c r="N339" s="39"/>
      <c r="O339" s="39"/>
      <c r="P339" s="39"/>
      <c r="Q339" s="39"/>
      <c r="R339" s="39"/>
      <c r="S339" s="39">
        <v>1138.9000000000001</v>
      </c>
      <c r="T339" s="39"/>
      <c r="U339" s="39"/>
      <c r="V339" s="39"/>
      <c r="W339" s="60"/>
    </row>
    <row r="340" spans="1:23" s="79" customFormat="1" ht="63.75" x14ac:dyDescent="0.2">
      <c r="A340" s="1" t="s">
        <v>19</v>
      </c>
      <c r="B340" s="2" t="s">
        <v>16</v>
      </c>
      <c r="C340" s="2" t="s">
        <v>20</v>
      </c>
      <c r="D340" s="2" t="s">
        <v>21</v>
      </c>
      <c r="E340" s="2">
        <v>2022</v>
      </c>
      <c r="F340" s="2" t="s">
        <v>1791</v>
      </c>
      <c r="G340" s="2" t="s">
        <v>3095</v>
      </c>
      <c r="H340" s="2" t="s">
        <v>3092</v>
      </c>
      <c r="I340" s="1" t="s">
        <v>14</v>
      </c>
      <c r="J340" s="1" t="s">
        <v>3505</v>
      </c>
      <c r="K340" s="17"/>
      <c r="L340" s="54">
        <v>0.27400000000000002</v>
      </c>
      <c r="M340" s="39"/>
      <c r="N340" s="39"/>
      <c r="O340" s="39"/>
      <c r="P340" s="39"/>
      <c r="Q340" s="39"/>
      <c r="R340" s="39"/>
      <c r="S340" s="39">
        <v>1075.5999999999999</v>
      </c>
      <c r="T340" s="39"/>
      <c r="U340" s="39"/>
      <c r="V340" s="39"/>
      <c r="W340" s="60"/>
    </row>
    <row r="341" spans="1:23" s="79" customFormat="1" ht="63.75" x14ac:dyDescent="0.2">
      <c r="A341" s="1" t="s">
        <v>19</v>
      </c>
      <c r="B341" s="2" t="s">
        <v>16</v>
      </c>
      <c r="C341" s="2" t="s">
        <v>20</v>
      </c>
      <c r="D341" s="2" t="s">
        <v>21</v>
      </c>
      <c r="E341" s="2">
        <v>2022</v>
      </c>
      <c r="F341" s="2" t="s">
        <v>311</v>
      </c>
      <c r="G341" s="2" t="s">
        <v>3095</v>
      </c>
      <c r="H341" s="2" t="s">
        <v>3092</v>
      </c>
      <c r="I341" s="1" t="s">
        <v>14</v>
      </c>
      <c r="J341" s="1" t="s">
        <v>3506</v>
      </c>
      <c r="K341" s="17"/>
      <c r="L341" s="54">
        <v>0.28000000000000003</v>
      </c>
      <c r="M341" s="39"/>
      <c r="N341" s="39"/>
      <c r="O341" s="39"/>
      <c r="P341" s="39"/>
      <c r="Q341" s="39"/>
      <c r="R341" s="39"/>
      <c r="S341" s="39">
        <v>377.6</v>
      </c>
      <c r="T341" s="39"/>
      <c r="U341" s="39"/>
      <c r="V341" s="39"/>
      <c r="W341" s="60"/>
    </row>
    <row r="342" spans="1:23" s="79" customFormat="1" ht="76.5" x14ac:dyDescent="0.2">
      <c r="A342" s="1" t="s">
        <v>19</v>
      </c>
      <c r="B342" s="2" t="s">
        <v>16</v>
      </c>
      <c r="C342" s="2" t="s">
        <v>20</v>
      </c>
      <c r="D342" s="2" t="s">
        <v>21</v>
      </c>
      <c r="E342" s="2">
        <v>2022</v>
      </c>
      <c r="F342" s="2" t="s">
        <v>1794</v>
      </c>
      <c r="G342" s="2" t="s">
        <v>3095</v>
      </c>
      <c r="H342" s="2" t="s">
        <v>3092</v>
      </c>
      <c r="I342" s="1" t="s">
        <v>14</v>
      </c>
      <c r="J342" s="1" t="s">
        <v>3507</v>
      </c>
      <c r="K342" s="17"/>
      <c r="L342" s="54" t="s">
        <v>3508</v>
      </c>
      <c r="M342" s="39"/>
      <c r="N342" s="39"/>
      <c r="O342" s="39"/>
      <c r="P342" s="39"/>
      <c r="Q342" s="39"/>
      <c r="R342" s="39"/>
      <c r="S342" s="39">
        <f>422.3+27.88</f>
        <v>450.18</v>
      </c>
      <c r="T342" s="39"/>
      <c r="U342" s="39"/>
      <c r="V342" s="39"/>
      <c r="W342" s="60"/>
    </row>
    <row r="343" spans="1:23" s="79" customFormat="1" ht="63.75" x14ac:dyDescent="0.2">
      <c r="A343" s="1" t="s">
        <v>19</v>
      </c>
      <c r="B343" s="2" t="s">
        <v>16</v>
      </c>
      <c r="C343" s="2" t="s">
        <v>20</v>
      </c>
      <c r="D343" s="2" t="s">
        <v>21</v>
      </c>
      <c r="E343" s="2">
        <v>2022</v>
      </c>
      <c r="F343" s="2" t="s">
        <v>1796</v>
      </c>
      <c r="G343" s="2" t="s">
        <v>3095</v>
      </c>
      <c r="H343" s="2" t="s">
        <v>3092</v>
      </c>
      <c r="I343" s="1" t="s">
        <v>14</v>
      </c>
      <c r="J343" s="1" t="s">
        <v>3509</v>
      </c>
      <c r="K343" s="17"/>
      <c r="L343" s="54">
        <v>0.29299999999999998</v>
      </c>
      <c r="M343" s="39"/>
      <c r="N343" s="39"/>
      <c r="O343" s="39"/>
      <c r="P343" s="39"/>
      <c r="Q343" s="39"/>
      <c r="R343" s="39"/>
      <c r="S343" s="39">
        <v>1920.1</v>
      </c>
      <c r="T343" s="39"/>
      <c r="U343" s="39"/>
      <c r="V343" s="39"/>
      <c r="W343" s="60"/>
    </row>
    <row r="344" spans="1:23" s="79" customFormat="1" ht="63.75" x14ac:dyDescent="0.2">
      <c r="A344" s="1" t="s">
        <v>19</v>
      </c>
      <c r="B344" s="2" t="s">
        <v>16</v>
      </c>
      <c r="C344" s="2" t="s">
        <v>20</v>
      </c>
      <c r="D344" s="2" t="s">
        <v>21</v>
      </c>
      <c r="E344" s="2">
        <v>2022</v>
      </c>
      <c r="F344" s="2" t="s">
        <v>1798</v>
      </c>
      <c r="G344" s="2" t="s">
        <v>3095</v>
      </c>
      <c r="H344" s="2" t="s">
        <v>3092</v>
      </c>
      <c r="I344" s="1" t="s">
        <v>14</v>
      </c>
      <c r="J344" s="1" t="s">
        <v>3510</v>
      </c>
      <c r="K344" s="17"/>
      <c r="L344" s="54">
        <v>0.27700000000000002</v>
      </c>
      <c r="M344" s="39"/>
      <c r="N344" s="39"/>
      <c r="O344" s="39"/>
      <c r="P344" s="39"/>
      <c r="Q344" s="39"/>
      <c r="R344" s="39"/>
      <c r="S344" s="39">
        <v>2155.8000000000002</v>
      </c>
      <c r="T344" s="39"/>
      <c r="U344" s="39"/>
      <c r="V344" s="39"/>
      <c r="W344" s="60"/>
    </row>
    <row r="345" spans="1:23" s="79" customFormat="1" ht="38.25" x14ac:dyDescent="0.2">
      <c r="A345" s="1" t="s">
        <v>23</v>
      </c>
      <c r="B345" s="2" t="s">
        <v>24</v>
      </c>
      <c r="C345" s="2" t="s">
        <v>20</v>
      </c>
      <c r="D345" s="2" t="s">
        <v>21</v>
      </c>
      <c r="E345" s="2">
        <v>2022</v>
      </c>
      <c r="F345" s="2" t="s">
        <v>1776</v>
      </c>
      <c r="G345" s="2" t="s">
        <v>3095</v>
      </c>
      <c r="H345" s="2" t="s">
        <v>3092</v>
      </c>
      <c r="I345" s="1" t="s">
        <v>14</v>
      </c>
      <c r="J345" s="1" t="s">
        <v>3511</v>
      </c>
      <c r="K345" s="17"/>
      <c r="L345" s="54">
        <v>0.25600000000000001</v>
      </c>
      <c r="M345" s="39"/>
      <c r="N345" s="39"/>
      <c r="O345" s="39"/>
      <c r="P345" s="39"/>
      <c r="Q345" s="39"/>
      <c r="R345" s="39"/>
      <c r="S345" s="39">
        <v>706.4</v>
      </c>
      <c r="T345" s="39"/>
      <c r="U345" s="39"/>
      <c r="V345" s="39"/>
      <c r="W345" s="60"/>
    </row>
    <row r="346" spans="1:23" s="79" customFormat="1" ht="38.25" x14ac:dyDescent="0.2">
      <c r="A346" s="1" t="s">
        <v>23</v>
      </c>
      <c r="B346" s="2" t="s">
        <v>24</v>
      </c>
      <c r="C346" s="2" t="s">
        <v>20</v>
      </c>
      <c r="D346" s="2" t="s">
        <v>21</v>
      </c>
      <c r="E346" s="2">
        <v>2022</v>
      </c>
      <c r="F346" s="2" t="s">
        <v>1779</v>
      </c>
      <c r="G346" s="2" t="s">
        <v>3095</v>
      </c>
      <c r="H346" s="2" t="s">
        <v>3092</v>
      </c>
      <c r="I346" s="1" t="s">
        <v>14</v>
      </c>
      <c r="J346" s="1" t="s">
        <v>3512</v>
      </c>
      <c r="K346" s="17"/>
      <c r="L346" s="54">
        <v>0.26500000000000001</v>
      </c>
      <c r="M346" s="39"/>
      <c r="N346" s="39"/>
      <c r="O346" s="39"/>
      <c r="P346" s="39"/>
      <c r="Q346" s="39"/>
      <c r="R346" s="39"/>
      <c r="S346" s="39">
        <v>693.6</v>
      </c>
      <c r="T346" s="39"/>
      <c r="U346" s="39"/>
      <c r="V346" s="39"/>
      <c r="W346" s="60"/>
    </row>
    <row r="347" spans="1:23" s="79" customFormat="1" ht="51" x14ac:dyDescent="0.2">
      <c r="A347" s="1" t="s">
        <v>23</v>
      </c>
      <c r="B347" s="2" t="s">
        <v>24</v>
      </c>
      <c r="C347" s="2" t="s">
        <v>20</v>
      </c>
      <c r="D347" s="2" t="s">
        <v>21</v>
      </c>
      <c r="E347" s="2">
        <v>2022</v>
      </c>
      <c r="F347" s="2" t="s">
        <v>1781</v>
      </c>
      <c r="G347" s="2" t="s">
        <v>3095</v>
      </c>
      <c r="H347" s="2" t="s">
        <v>3092</v>
      </c>
      <c r="I347" s="1" t="s">
        <v>14</v>
      </c>
      <c r="J347" s="1" t="s">
        <v>3513</v>
      </c>
      <c r="K347" s="17"/>
      <c r="L347" s="54">
        <v>0.27300000000000002</v>
      </c>
      <c r="M347" s="39"/>
      <c r="N347" s="39"/>
      <c r="O347" s="39"/>
      <c r="P347" s="39"/>
      <c r="Q347" s="39"/>
      <c r="R347" s="39"/>
      <c r="S347" s="39">
        <v>839.6</v>
      </c>
      <c r="T347" s="39"/>
      <c r="U347" s="39"/>
      <c r="V347" s="39"/>
      <c r="W347" s="60"/>
    </row>
    <row r="348" spans="1:23" s="79" customFormat="1" ht="51" x14ac:dyDescent="0.2">
      <c r="A348" s="1" t="s">
        <v>23</v>
      </c>
      <c r="B348" s="2" t="s">
        <v>24</v>
      </c>
      <c r="C348" s="2" t="s">
        <v>20</v>
      </c>
      <c r="D348" s="2" t="s">
        <v>21</v>
      </c>
      <c r="E348" s="2">
        <v>2022</v>
      </c>
      <c r="F348" s="2" t="s">
        <v>1783</v>
      </c>
      <c r="G348" s="2" t="s">
        <v>3095</v>
      </c>
      <c r="H348" s="2" t="s">
        <v>3092</v>
      </c>
      <c r="I348" s="1" t="s">
        <v>14</v>
      </c>
      <c r="J348" s="1" t="s">
        <v>3514</v>
      </c>
      <c r="K348" s="17"/>
      <c r="L348" s="54">
        <v>0.28799999999999998</v>
      </c>
      <c r="M348" s="39"/>
      <c r="N348" s="39"/>
      <c r="O348" s="39"/>
      <c r="P348" s="39"/>
      <c r="Q348" s="39"/>
      <c r="R348" s="39"/>
      <c r="S348" s="39">
        <v>837.8</v>
      </c>
      <c r="T348" s="39"/>
      <c r="U348" s="39"/>
      <c r="V348" s="39"/>
      <c r="W348" s="60"/>
    </row>
    <row r="349" spans="1:23" s="79" customFormat="1" ht="63.75" x14ac:dyDescent="0.2">
      <c r="A349" s="1" t="s">
        <v>23</v>
      </c>
      <c r="B349" s="2" t="s">
        <v>24</v>
      </c>
      <c r="C349" s="2" t="s">
        <v>20</v>
      </c>
      <c r="D349" s="2" t="s">
        <v>21</v>
      </c>
      <c r="E349" s="2">
        <v>2022</v>
      </c>
      <c r="F349" s="2" t="s">
        <v>1785</v>
      </c>
      <c r="G349" s="2" t="s">
        <v>3095</v>
      </c>
      <c r="H349" s="2" t="s">
        <v>3092</v>
      </c>
      <c r="I349" s="1" t="s">
        <v>14</v>
      </c>
      <c r="J349" s="1" t="s">
        <v>3515</v>
      </c>
      <c r="K349" s="17"/>
      <c r="L349" s="54">
        <v>0.28199999999999997</v>
      </c>
      <c r="M349" s="39"/>
      <c r="N349" s="39"/>
      <c r="O349" s="39"/>
      <c r="P349" s="39"/>
      <c r="Q349" s="39"/>
      <c r="R349" s="39"/>
      <c r="S349" s="39">
        <v>826.88</v>
      </c>
      <c r="T349" s="39"/>
      <c r="U349" s="39"/>
      <c r="V349" s="39"/>
      <c r="W349" s="60"/>
    </row>
    <row r="350" spans="1:23" s="79" customFormat="1" ht="51" x14ac:dyDescent="0.2">
      <c r="A350" s="1" t="s">
        <v>23</v>
      </c>
      <c r="B350" s="2" t="s">
        <v>24</v>
      </c>
      <c r="C350" s="2" t="s">
        <v>20</v>
      </c>
      <c r="D350" s="2" t="s">
        <v>21</v>
      </c>
      <c r="E350" s="2">
        <v>2022</v>
      </c>
      <c r="F350" s="2" t="s">
        <v>1787</v>
      </c>
      <c r="G350" s="2" t="s">
        <v>3095</v>
      </c>
      <c r="H350" s="2" t="s">
        <v>3092</v>
      </c>
      <c r="I350" s="1" t="s">
        <v>14</v>
      </c>
      <c r="J350" s="1" t="s">
        <v>3516</v>
      </c>
      <c r="K350" s="17"/>
      <c r="L350" s="54">
        <v>0.28799999999999998</v>
      </c>
      <c r="M350" s="39"/>
      <c r="N350" s="39"/>
      <c r="O350" s="39"/>
      <c r="P350" s="39"/>
      <c r="Q350" s="39"/>
      <c r="R350" s="39"/>
      <c r="S350" s="39">
        <v>803.5</v>
      </c>
      <c r="T350" s="39"/>
      <c r="U350" s="39"/>
      <c r="V350" s="39"/>
      <c r="W350" s="60"/>
    </row>
    <row r="351" spans="1:23" s="79" customFormat="1" ht="51" x14ac:dyDescent="0.2">
      <c r="A351" s="1" t="s">
        <v>23</v>
      </c>
      <c r="B351" s="2" t="s">
        <v>24</v>
      </c>
      <c r="C351" s="2" t="s">
        <v>20</v>
      </c>
      <c r="D351" s="2" t="s">
        <v>21</v>
      </c>
      <c r="E351" s="2">
        <v>2022</v>
      </c>
      <c r="F351" s="2" t="s">
        <v>1789</v>
      </c>
      <c r="G351" s="2" t="s">
        <v>3095</v>
      </c>
      <c r="H351" s="2" t="s">
        <v>3092</v>
      </c>
      <c r="I351" s="1" t="s">
        <v>14</v>
      </c>
      <c r="J351" s="1" t="s">
        <v>3517</v>
      </c>
      <c r="K351" s="17"/>
      <c r="L351" s="54">
        <v>0.27400000000000002</v>
      </c>
      <c r="M351" s="39"/>
      <c r="N351" s="39"/>
      <c r="O351" s="39"/>
      <c r="P351" s="39"/>
      <c r="Q351" s="39"/>
      <c r="R351" s="39"/>
      <c r="S351" s="39">
        <v>662.9</v>
      </c>
      <c r="T351" s="39"/>
      <c r="U351" s="39"/>
      <c r="V351" s="39"/>
      <c r="W351" s="60"/>
    </row>
    <row r="352" spans="1:23" s="79" customFormat="1" ht="51" x14ac:dyDescent="0.2">
      <c r="A352" s="1" t="s">
        <v>23</v>
      </c>
      <c r="B352" s="2" t="s">
        <v>24</v>
      </c>
      <c r="C352" s="2" t="s">
        <v>20</v>
      </c>
      <c r="D352" s="2" t="s">
        <v>21</v>
      </c>
      <c r="E352" s="2">
        <v>2022</v>
      </c>
      <c r="F352" s="2" t="s">
        <v>1791</v>
      </c>
      <c r="G352" s="2" t="s">
        <v>3095</v>
      </c>
      <c r="H352" s="2" t="s">
        <v>3092</v>
      </c>
      <c r="I352" s="1" t="s">
        <v>14</v>
      </c>
      <c r="J352" s="1" t="s">
        <v>3518</v>
      </c>
      <c r="K352" s="17"/>
      <c r="L352" s="54">
        <v>0.26100000000000001</v>
      </c>
      <c r="M352" s="39"/>
      <c r="N352" s="39"/>
      <c r="O352" s="39"/>
      <c r="P352" s="39"/>
      <c r="Q352" s="39"/>
      <c r="R352" s="39"/>
      <c r="S352" s="39">
        <v>730.9</v>
      </c>
      <c r="T352" s="39"/>
      <c r="U352" s="39"/>
      <c r="V352" s="39"/>
      <c r="W352" s="60"/>
    </row>
    <row r="353" spans="1:23" s="79" customFormat="1" ht="51" x14ac:dyDescent="0.2">
      <c r="A353" s="1" t="s">
        <v>23</v>
      </c>
      <c r="B353" s="2" t="s">
        <v>24</v>
      </c>
      <c r="C353" s="2" t="s">
        <v>20</v>
      </c>
      <c r="D353" s="2" t="s">
        <v>21</v>
      </c>
      <c r="E353" s="2">
        <v>2022</v>
      </c>
      <c r="F353" s="2" t="s">
        <v>311</v>
      </c>
      <c r="G353" s="2" t="s">
        <v>3095</v>
      </c>
      <c r="H353" s="2" t="s">
        <v>3092</v>
      </c>
      <c r="I353" s="1" t="s">
        <v>14</v>
      </c>
      <c r="J353" s="1" t="s">
        <v>3519</v>
      </c>
      <c r="K353" s="17"/>
      <c r="L353" s="54">
        <v>0.28799999999999998</v>
      </c>
      <c r="M353" s="39"/>
      <c r="N353" s="39"/>
      <c r="O353" s="39"/>
      <c r="P353" s="39"/>
      <c r="Q353" s="39"/>
      <c r="R353" s="39"/>
      <c r="S353" s="39">
        <v>623.5</v>
      </c>
      <c r="T353" s="39"/>
      <c r="U353" s="39"/>
      <c r="V353" s="39"/>
      <c r="W353" s="60"/>
    </row>
    <row r="354" spans="1:23" s="79" customFormat="1" ht="51" x14ac:dyDescent="0.2">
      <c r="A354" s="1" t="s">
        <v>23</v>
      </c>
      <c r="B354" s="2" t="s">
        <v>24</v>
      </c>
      <c r="C354" s="2" t="s">
        <v>20</v>
      </c>
      <c r="D354" s="2" t="s">
        <v>21</v>
      </c>
      <c r="E354" s="2">
        <v>2022</v>
      </c>
      <c r="F354" s="2" t="s">
        <v>1794</v>
      </c>
      <c r="G354" s="2" t="s">
        <v>3095</v>
      </c>
      <c r="H354" s="2" t="s">
        <v>3092</v>
      </c>
      <c r="I354" s="1" t="s">
        <v>14</v>
      </c>
      <c r="J354" s="1" t="s">
        <v>3520</v>
      </c>
      <c r="K354" s="17"/>
      <c r="L354" s="54">
        <v>0.27800000000000002</v>
      </c>
      <c r="M354" s="39"/>
      <c r="N354" s="39"/>
      <c r="O354" s="39"/>
      <c r="P354" s="39"/>
      <c r="Q354" s="39"/>
      <c r="R354" s="39"/>
      <c r="S354" s="39">
        <v>586.4</v>
      </c>
      <c r="T354" s="39"/>
      <c r="U354" s="39"/>
      <c r="V354" s="39"/>
      <c r="W354" s="60"/>
    </row>
    <row r="355" spans="1:23" s="79" customFormat="1" ht="51" x14ac:dyDescent="0.2">
      <c r="A355" s="1" t="s">
        <v>23</v>
      </c>
      <c r="B355" s="2" t="s">
        <v>24</v>
      </c>
      <c r="C355" s="2" t="s">
        <v>20</v>
      </c>
      <c r="D355" s="2" t="s">
        <v>21</v>
      </c>
      <c r="E355" s="2">
        <v>2022</v>
      </c>
      <c r="F355" s="2" t="s">
        <v>1796</v>
      </c>
      <c r="G355" s="2" t="s">
        <v>3095</v>
      </c>
      <c r="H355" s="2" t="s">
        <v>3092</v>
      </c>
      <c r="I355" s="1" t="s">
        <v>14</v>
      </c>
      <c r="J355" s="1" t="s">
        <v>3521</v>
      </c>
      <c r="K355" s="17"/>
      <c r="L355" s="54">
        <v>0.28199999999999997</v>
      </c>
      <c r="M355" s="39"/>
      <c r="N355" s="39"/>
      <c r="O355" s="39"/>
      <c r="P355" s="39"/>
      <c r="Q355" s="39"/>
      <c r="R355" s="39"/>
      <c r="S355" s="39">
        <v>683.4</v>
      </c>
      <c r="T355" s="39"/>
      <c r="U355" s="39"/>
      <c r="V355" s="39"/>
      <c r="W355" s="60"/>
    </row>
    <row r="356" spans="1:23" s="79" customFormat="1" ht="51" x14ac:dyDescent="0.2">
      <c r="A356" s="1" t="s">
        <v>23</v>
      </c>
      <c r="B356" s="2" t="s">
        <v>24</v>
      </c>
      <c r="C356" s="2" t="s">
        <v>20</v>
      </c>
      <c r="D356" s="2" t="s">
        <v>21</v>
      </c>
      <c r="E356" s="2">
        <v>2022</v>
      </c>
      <c r="F356" s="2" t="s">
        <v>1798</v>
      </c>
      <c r="G356" s="2" t="s">
        <v>3095</v>
      </c>
      <c r="H356" s="2" t="s">
        <v>3092</v>
      </c>
      <c r="I356" s="1" t="s">
        <v>14</v>
      </c>
      <c r="J356" s="1" t="s">
        <v>3522</v>
      </c>
      <c r="K356" s="17"/>
      <c r="L356" s="54">
        <v>0.26900000000000002</v>
      </c>
      <c r="M356" s="39"/>
      <c r="N356" s="39"/>
      <c r="O356" s="39"/>
      <c r="P356" s="39"/>
      <c r="Q356" s="39"/>
      <c r="R356" s="39"/>
      <c r="S356" s="39">
        <v>726.6</v>
      </c>
      <c r="T356" s="39"/>
      <c r="U356" s="39"/>
      <c r="V356" s="39"/>
      <c r="W356" s="60"/>
    </row>
    <row r="357" spans="1:23" s="79" customFormat="1" ht="102" x14ac:dyDescent="0.2">
      <c r="A357" s="1" t="s">
        <v>3523</v>
      </c>
      <c r="B357" s="2" t="s">
        <v>196</v>
      </c>
      <c r="C357" s="2" t="s">
        <v>3524</v>
      </c>
      <c r="D357" s="2" t="s">
        <v>158</v>
      </c>
      <c r="E357" s="2">
        <v>2022</v>
      </c>
      <c r="F357" s="2" t="s">
        <v>1789</v>
      </c>
      <c r="G357" s="2" t="s">
        <v>3092</v>
      </c>
      <c r="H357" s="2" t="s">
        <v>3092</v>
      </c>
      <c r="I357" s="1" t="s">
        <v>3525</v>
      </c>
      <c r="J357" s="1" t="s">
        <v>3526</v>
      </c>
      <c r="K357" s="17"/>
      <c r="L357" s="54" t="s">
        <v>1670</v>
      </c>
      <c r="M357" s="39"/>
      <c r="N357" s="39"/>
      <c r="O357" s="39" t="s">
        <v>1670</v>
      </c>
      <c r="P357" s="39"/>
      <c r="Q357" s="39"/>
      <c r="R357" s="39"/>
      <c r="S357" s="39"/>
      <c r="T357" s="39"/>
      <c r="U357" s="39"/>
      <c r="V357" s="39"/>
      <c r="W357" s="60"/>
    </row>
    <row r="358" spans="1:23" s="79" customFormat="1" ht="25.5" x14ac:dyDescent="0.2">
      <c r="A358" s="1" t="s">
        <v>3523</v>
      </c>
      <c r="B358" s="2" t="s">
        <v>196</v>
      </c>
      <c r="C358" s="2" t="s">
        <v>3524</v>
      </c>
      <c r="D358" s="2" t="s">
        <v>158</v>
      </c>
      <c r="E358" s="2">
        <v>2022</v>
      </c>
      <c r="F358" s="2" t="s">
        <v>1791</v>
      </c>
      <c r="G358" s="2" t="s">
        <v>3092</v>
      </c>
      <c r="H358" s="2" t="s">
        <v>3092</v>
      </c>
      <c r="I358" s="1" t="s">
        <v>3527</v>
      </c>
      <c r="J358" s="1" t="s">
        <v>3528</v>
      </c>
      <c r="K358" s="17"/>
      <c r="L358" s="54" t="s">
        <v>1670</v>
      </c>
      <c r="M358" s="39"/>
      <c r="N358" s="39"/>
      <c r="O358" s="39" t="s">
        <v>1670</v>
      </c>
      <c r="P358" s="39"/>
      <c r="Q358" s="39"/>
      <c r="R358" s="39"/>
      <c r="S358" s="39"/>
      <c r="T358" s="39"/>
      <c r="U358" s="39"/>
      <c r="V358" s="39"/>
      <c r="W358" s="60"/>
    </row>
    <row r="359" spans="1:23" s="79" customFormat="1" ht="63.75" x14ac:dyDescent="0.2">
      <c r="A359" s="1" t="s">
        <v>411</v>
      </c>
      <c r="B359" s="2" t="s">
        <v>196</v>
      </c>
      <c r="C359" s="2" t="s">
        <v>412</v>
      </c>
      <c r="D359" s="2" t="s">
        <v>61</v>
      </c>
      <c r="E359" s="2">
        <v>2022</v>
      </c>
      <c r="F359" s="2" t="s">
        <v>1789</v>
      </c>
      <c r="G359" s="2" t="s">
        <v>3092</v>
      </c>
      <c r="H359" s="2" t="s">
        <v>3093</v>
      </c>
      <c r="I359" s="1" t="s">
        <v>3529</v>
      </c>
      <c r="J359" s="1" t="s">
        <v>14</v>
      </c>
      <c r="K359" s="17"/>
      <c r="L359" s="54"/>
      <c r="M359" s="39"/>
      <c r="N359" s="39"/>
      <c r="O359" s="39"/>
      <c r="P359" s="39"/>
      <c r="Q359" s="39"/>
      <c r="R359" s="39"/>
      <c r="S359" s="39"/>
      <c r="T359" s="39"/>
      <c r="U359" s="39"/>
      <c r="V359" s="39"/>
      <c r="W359" s="60" t="s">
        <v>1693</v>
      </c>
    </row>
    <row r="360" spans="1:23" s="79" customFormat="1" ht="344.25" x14ac:dyDescent="0.2">
      <c r="A360" s="1" t="s">
        <v>3530</v>
      </c>
      <c r="B360" s="2" t="s">
        <v>196</v>
      </c>
      <c r="C360" s="2" t="s">
        <v>3531</v>
      </c>
      <c r="D360" s="2" t="s">
        <v>58</v>
      </c>
      <c r="E360" s="2">
        <v>2022</v>
      </c>
      <c r="F360" s="2" t="s">
        <v>1787</v>
      </c>
      <c r="G360" s="2" t="s">
        <v>3092</v>
      </c>
      <c r="H360" s="2" t="s">
        <v>3092</v>
      </c>
      <c r="I360" s="1" t="s">
        <v>3532</v>
      </c>
      <c r="J360" s="1" t="s">
        <v>3533</v>
      </c>
      <c r="K360" s="17"/>
      <c r="L360" s="54">
        <v>0.22</v>
      </c>
      <c r="M360" s="39"/>
      <c r="N360" s="39"/>
      <c r="O360" s="39">
        <f>(692+285+294+332)*0.8</f>
        <v>1282.4000000000001</v>
      </c>
      <c r="P360" s="39"/>
      <c r="Q360" s="39"/>
      <c r="R360" s="39"/>
      <c r="S360" s="39"/>
      <c r="T360" s="39"/>
      <c r="U360" s="39"/>
      <c r="V360" s="39"/>
      <c r="W360" s="60" t="s">
        <v>3534</v>
      </c>
    </row>
    <row r="361" spans="1:23" s="79" customFormat="1" ht="102" x14ac:dyDescent="0.2">
      <c r="A361" s="1" t="s">
        <v>3530</v>
      </c>
      <c r="B361" s="2" t="s">
        <v>196</v>
      </c>
      <c r="C361" s="2" t="s">
        <v>3531</v>
      </c>
      <c r="D361" s="2" t="s">
        <v>58</v>
      </c>
      <c r="E361" s="2">
        <v>2022</v>
      </c>
      <c r="F361" s="2" t="s">
        <v>311</v>
      </c>
      <c r="G361" s="2" t="s">
        <v>3092</v>
      </c>
      <c r="H361" s="2" t="s">
        <v>3092</v>
      </c>
      <c r="I361" s="1" t="s">
        <v>3535</v>
      </c>
      <c r="J361" s="1" t="s">
        <v>3536</v>
      </c>
      <c r="K361" s="17"/>
      <c r="L361" s="54"/>
      <c r="M361" s="39"/>
      <c r="N361" s="39"/>
      <c r="O361" s="39"/>
      <c r="P361" s="39"/>
      <c r="Q361" s="39"/>
      <c r="R361" s="39"/>
      <c r="S361" s="39"/>
      <c r="T361" s="39"/>
      <c r="U361" s="39"/>
      <c r="V361" s="39"/>
      <c r="W361" s="60" t="s">
        <v>3537</v>
      </c>
    </row>
    <row r="362" spans="1:23" s="79" customFormat="1" ht="25.5" x14ac:dyDescent="0.2">
      <c r="A362" s="1" t="s">
        <v>168</v>
      </c>
      <c r="B362" s="2" t="s">
        <v>10</v>
      </c>
      <c r="C362" s="2" t="s">
        <v>169</v>
      </c>
      <c r="D362" s="2" t="s">
        <v>170</v>
      </c>
      <c r="E362" s="2">
        <v>2022</v>
      </c>
      <c r="F362" s="2" t="s">
        <v>1776</v>
      </c>
      <c r="G362" s="2" t="s">
        <v>3095</v>
      </c>
      <c r="H362" s="2" t="s">
        <v>3092</v>
      </c>
      <c r="I362" s="1" t="s">
        <v>14</v>
      </c>
      <c r="J362" s="1" t="s">
        <v>3538</v>
      </c>
      <c r="K362" s="17"/>
      <c r="L362" s="54"/>
      <c r="M362" s="39"/>
      <c r="N362" s="39"/>
      <c r="O362" s="39"/>
      <c r="P362" s="39"/>
      <c r="Q362" s="39"/>
      <c r="R362" s="39"/>
      <c r="S362" s="39"/>
      <c r="T362" s="39"/>
      <c r="U362" s="39"/>
      <c r="V362" s="39"/>
      <c r="W362" s="60" t="s">
        <v>1735</v>
      </c>
    </row>
    <row r="363" spans="1:23" s="79" customFormat="1" ht="25.5" x14ac:dyDescent="0.2">
      <c r="A363" s="1" t="s">
        <v>168</v>
      </c>
      <c r="B363" s="2" t="s">
        <v>10</v>
      </c>
      <c r="C363" s="2" t="s">
        <v>169</v>
      </c>
      <c r="D363" s="2" t="s">
        <v>170</v>
      </c>
      <c r="E363" s="2">
        <v>2022</v>
      </c>
      <c r="F363" s="2" t="s">
        <v>1785</v>
      </c>
      <c r="G363" s="2" t="s">
        <v>3095</v>
      </c>
      <c r="H363" s="2" t="s">
        <v>3092</v>
      </c>
      <c r="I363" s="1" t="s">
        <v>14</v>
      </c>
      <c r="J363" s="1" t="s">
        <v>2267</v>
      </c>
      <c r="K363" s="17"/>
      <c r="L363" s="54"/>
      <c r="M363" s="39"/>
      <c r="N363" s="39"/>
      <c r="O363" s="39"/>
      <c r="P363" s="39"/>
      <c r="Q363" s="39"/>
      <c r="R363" s="39"/>
      <c r="S363" s="39"/>
      <c r="T363" s="39"/>
      <c r="U363" s="39"/>
      <c r="V363" s="39"/>
      <c r="W363" s="60" t="s">
        <v>1735</v>
      </c>
    </row>
    <row r="364" spans="1:23" s="79" customFormat="1" ht="25.5" x14ac:dyDescent="0.2">
      <c r="A364" s="1" t="s">
        <v>168</v>
      </c>
      <c r="B364" s="2" t="s">
        <v>10</v>
      </c>
      <c r="C364" s="2" t="s">
        <v>169</v>
      </c>
      <c r="D364" s="2" t="s">
        <v>170</v>
      </c>
      <c r="E364" s="2">
        <v>2022</v>
      </c>
      <c r="F364" s="2" t="s">
        <v>1787</v>
      </c>
      <c r="G364" s="2" t="s">
        <v>3095</v>
      </c>
      <c r="H364" s="2" t="s">
        <v>3092</v>
      </c>
      <c r="I364" s="1" t="s">
        <v>14</v>
      </c>
      <c r="J364" s="1" t="s">
        <v>3539</v>
      </c>
      <c r="K364" s="17"/>
      <c r="L364" s="54"/>
      <c r="M364" s="39"/>
      <c r="N364" s="39"/>
      <c r="O364" s="39"/>
      <c r="P364" s="39"/>
      <c r="Q364" s="39"/>
      <c r="R364" s="39"/>
      <c r="S364" s="39"/>
      <c r="T364" s="39"/>
      <c r="U364" s="39"/>
      <c r="V364" s="39"/>
      <c r="W364" s="60" t="s">
        <v>1735</v>
      </c>
    </row>
    <row r="365" spans="1:23" s="79" customFormat="1" ht="25.5" x14ac:dyDescent="0.2">
      <c r="A365" s="1" t="s">
        <v>168</v>
      </c>
      <c r="B365" s="2" t="s">
        <v>10</v>
      </c>
      <c r="C365" s="2" t="s">
        <v>169</v>
      </c>
      <c r="D365" s="2" t="s">
        <v>170</v>
      </c>
      <c r="E365" s="2">
        <v>2022</v>
      </c>
      <c r="F365" s="2" t="s">
        <v>1789</v>
      </c>
      <c r="G365" s="2" t="s">
        <v>3095</v>
      </c>
      <c r="H365" s="2" t="s">
        <v>3092</v>
      </c>
      <c r="I365" s="1" t="s">
        <v>14</v>
      </c>
      <c r="J365" s="1" t="s">
        <v>2267</v>
      </c>
      <c r="K365" s="17"/>
      <c r="L365" s="54"/>
      <c r="M365" s="39"/>
      <c r="N365" s="39"/>
      <c r="O365" s="39"/>
      <c r="P365" s="39"/>
      <c r="Q365" s="39"/>
      <c r="R365" s="39"/>
      <c r="S365" s="39"/>
      <c r="T365" s="39"/>
      <c r="U365" s="39"/>
      <c r="V365" s="39"/>
      <c r="W365" s="60" t="s">
        <v>1735</v>
      </c>
    </row>
    <row r="366" spans="1:23" s="79" customFormat="1" ht="25.5" x14ac:dyDescent="0.2">
      <c r="A366" s="1" t="s">
        <v>168</v>
      </c>
      <c r="B366" s="2" t="s">
        <v>10</v>
      </c>
      <c r="C366" s="2" t="s">
        <v>169</v>
      </c>
      <c r="D366" s="2" t="s">
        <v>170</v>
      </c>
      <c r="E366" s="2">
        <v>2022</v>
      </c>
      <c r="F366" s="2" t="s">
        <v>1791</v>
      </c>
      <c r="G366" s="2" t="s">
        <v>3095</v>
      </c>
      <c r="H366" s="2" t="s">
        <v>3092</v>
      </c>
      <c r="I366" s="1" t="s">
        <v>14</v>
      </c>
      <c r="J366" s="1" t="s">
        <v>2267</v>
      </c>
      <c r="K366" s="17"/>
      <c r="L366" s="54"/>
      <c r="M366" s="39"/>
      <c r="N366" s="39"/>
      <c r="O366" s="39"/>
      <c r="P366" s="39"/>
      <c r="Q366" s="39"/>
      <c r="R366" s="39"/>
      <c r="S366" s="39"/>
      <c r="T366" s="39"/>
      <c r="U366" s="39"/>
      <c r="V366" s="39"/>
      <c r="W366" s="60" t="s">
        <v>1735</v>
      </c>
    </row>
    <row r="367" spans="1:23" s="79" customFormat="1" ht="25.5" x14ac:dyDescent="0.2">
      <c r="A367" s="1" t="s">
        <v>168</v>
      </c>
      <c r="B367" s="2" t="s">
        <v>10</v>
      </c>
      <c r="C367" s="2" t="s">
        <v>169</v>
      </c>
      <c r="D367" s="2" t="s">
        <v>170</v>
      </c>
      <c r="E367" s="2">
        <v>2022</v>
      </c>
      <c r="F367" s="2" t="s">
        <v>311</v>
      </c>
      <c r="G367" s="2" t="s">
        <v>3095</v>
      </c>
      <c r="H367" s="2" t="s">
        <v>3092</v>
      </c>
      <c r="I367" s="1" t="s">
        <v>14</v>
      </c>
      <c r="J367" s="1" t="s">
        <v>3539</v>
      </c>
      <c r="K367" s="17"/>
      <c r="L367" s="54"/>
      <c r="M367" s="39"/>
      <c r="N367" s="39"/>
      <c r="O367" s="39"/>
      <c r="P367" s="39"/>
      <c r="Q367" s="39"/>
      <c r="R367" s="39"/>
      <c r="S367" s="39"/>
      <c r="T367" s="39"/>
      <c r="U367" s="39"/>
      <c r="V367" s="39"/>
      <c r="W367" s="60" t="s">
        <v>1735</v>
      </c>
    </row>
    <row r="368" spans="1:23" s="79" customFormat="1" ht="25.5" x14ac:dyDescent="0.2">
      <c r="A368" s="1" t="s">
        <v>168</v>
      </c>
      <c r="B368" s="2" t="s">
        <v>10</v>
      </c>
      <c r="C368" s="2" t="s">
        <v>169</v>
      </c>
      <c r="D368" s="2" t="s">
        <v>170</v>
      </c>
      <c r="E368" s="2">
        <v>2022</v>
      </c>
      <c r="F368" s="2" t="s">
        <v>1794</v>
      </c>
      <c r="G368" s="2" t="s">
        <v>3095</v>
      </c>
      <c r="H368" s="2" t="s">
        <v>3092</v>
      </c>
      <c r="I368" s="1" t="s">
        <v>14</v>
      </c>
      <c r="J368" s="1" t="s">
        <v>3539</v>
      </c>
      <c r="K368" s="17"/>
      <c r="L368" s="54"/>
      <c r="M368" s="39"/>
      <c r="N368" s="39"/>
      <c r="O368" s="39"/>
      <c r="P368" s="39"/>
      <c r="Q368" s="39"/>
      <c r="R368" s="39"/>
      <c r="S368" s="39"/>
      <c r="T368" s="39"/>
      <c r="U368" s="39"/>
      <c r="V368" s="39"/>
      <c r="W368" s="60" t="s">
        <v>1735</v>
      </c>
    </row>
    <row r="369" spans="1:23" s="79" customFormat="1" ht="25.5" x14ac:dyDescent="0.2">
      <c r="A369" s="1" t="s">
        <v>168</v>
      </c>
      <c r="B369" s="2" t="s">
        <v>10</v>
      </c>
      <c r="C369" s="2" t="s">
        <v>169</v>
      </c>
      <c r="D369" s="2" t="s">
        <v>170</v>
      </c>
      <c r="E369" s="2">
        <v>2022</v>
      </c>
      <c r="F369" s="2" t="s">
        <v>1796</v>
      </c>
      <c r="G369" s="2" t="s">
        <v>3095</v>
      </c>
      <c r="H369" s="2" t="s">
        <v>3092</v>
      </c>
      <c r="I369" s="1" t="s">
        <v>14</v>
      </c>
      <c r="J369" s="1" t="s">
        <v>3540</v>
      </c>
      <c r="K369" s="17"/>
      <c r="L369" s="54"/>
      <c r="M369" s="39"/>
      <c r="N369" s="39"/>
      <c r="O369" s="39"/>
      <c r="P369" s="39"/>
      <c r="Q369" s="39"/>
      <c r="R369" s="39"/>
      <c r="S369" s="39"/>
      <c r="T369" s="39"/>
      <c r="U369" s="39"/>
      <c r="V369" s="39"/>
      <c r="W369" s="60" t="s">
        <v>1735</v>
      </c>
    </row>
    <row r="370" spans="1:23" s="79" customFormat="1" ht="25.5" x14ac:dyDescent="0.2">
      <c r="A370" s="1" t="s">
        <v>168</v>
      </c>
      <c r="B370" s="2" t="s">
        <v>10</v>
      </c>
      <c r="C370" s="2" t="s">
        <v>169</v>
      </c>
      <c r="D370" s="2" t="s">
        <v>170</v>
      </c>
      <c r="E370" s="2">
        <v>2022</v>
      </c>
      <c r="F370" s="2" t="s">
        <v>1798</v>
      </c>
      <c r="G370" s="2" t="s">
        <v>3095</v>
      </c>
      <c r="H370" s="2" t="s">
        <v>3092</v>
      </c>
      <c r="I370" s="1" t="s">
        <v>14</v>
      </c>
      <c r="J370" s="1" t="s">
        <v>3539</v>
      </c>
      <c r="K370" s="17"/>
      <c r="L370" s="54"/>
      <c r="M370" s="39"/>
      <c r="N370" s="39"/>
      <c r="O370" s="39"/>
      <c r="P370" s="39"/>
      <c r="Q370" s="39"/>
      <c r="R370" s="39"/>
      <c r="S370" s="39"/>
      <c r="T370" s="39"/>
      <c r="U370" s="39"/>
      <c r="V370" s="39"/>
      <c r="W370" s="60" t="s">
        <v>1735</v>
      </c>
    </row>
    <row r="371" spans="1:23" s="79" customFormat="1" ht="38.25" x14ac:dyDescent="0.2">
      <c r="A371" s="1" t="s">
        <v>28</v>
      </c>
      <c r="B371" s="2" t="s">
        <v>29</v>
      </c>
      <c r="C371" s="2" t="s">
        <v>30</v>
      </c>
      <c r="D371" s="2" t="s">
        <v>31</v>
      </c>
      <c r="E371" s="2">
        <v>2022</v>
      </c>
      <c r="F371" s="2" t="s">
        <v>1776</v>
      </c>
      <c r="G371" s="2" t="s">
        <v>3093</v>
      </c>
      <c r="H371" s="2" t="s">
        <v>3092</v>
      </c>
      <c r="I371" s="1" t="s">
        <v>14</v>
      </c>
      <c r="J371" s="1" t="s">
        <v>3541</v>
      </c>
      <c r="K371" s="17"/>
      <c r="L371" s="54">
        <v>0.20100000000000001</v>
      </c>
      <c r="M371" s="39"/>
      <c r="N371" s="39"/>
      <c r="O371" s="39">
        <v>548.07000000000005</v>
      </c>
      <c r="P371" s="39"/>
      <c r="Q371" s="39"/>
      <c r="R371" s="39"/>
      <c r="S371" s="39"/>
      <c r="T371" s="39"/>
      <c r="U371" s="39"/>
      <c r="V371" s="39"/>
      <c r="W371" s="60" t="s">
        <v>1736</v>
      </c>
    </row>
    <row r="372" spans="1:23" s="79" customFormat="1" ht="38.25" x14ac:dyDescent="0.2">
      <c r="A372" s="1" t="s">
        <v>28</v>
      </c>
      <c r="B372" s="2" t="s">
        <v>29</v>
      </c>
      <c r="C372" s="2" t="s">
        <v>30</v>
      </c>
      <c r="D372" s="2" t="s">
        <v>31</v>
      </c>
      <c r="E372" s="2">
        <v>2022</v>
      </c>
      <c r="F372" s="2" t="s">
        <v>1779</v>
      </c>
      <c r="G372" s="2" t="s">
        <v>3093</v>
      </c>
      <c r="H372" s="2" t="s">
        <v>3092</v>
      </c>
      <c r="I372" s="1" t="s">
        <v>14</v>
      </c>
      <c r="J372" s="1" t="s">
        <v>3542</v>
      </c>
      <c r="K372" s="17"/>
      <c r="L372" s="54">
        <v>0.20200000000000001</v>
      </c>
      <c r="M372" s="39"/>
      <c r="N372" s="39"/>
      <c r="O372" s="39">
        <v>488.33</v>
      </c>
      <c r="P372" s="39"/>
      <c r="Q372" s="39"/>
      <c r="R372" s="39"/>
      <c r="S372" s="39"/>
      <c r="T372" s="39"/>
      <c r="U372" s="39"/>
      <c r="V372" s="39"/>
      <c r="W372" s="60" t="s">
        <v>1736</v>
      </c>
    </row>
    <row r="373" spans="1:23" s="79" customFormat="1" ht="38.25" x14ac:dyDescent="0.2">
      <c r="A373" s="1" t="s">
        <v>28</v>
      </c>
      <c r="B373" s="2" t="s">
        <v>29</v>
      </c>
      <c r="C373" s="2" t="s">
        <v>30</v>
      </c>
      <c r="D373" s="2" t="s">
        <v>31</v>
      </c>
      <c r="E373" s="2">
        <v>2022</v>
      </c>
      <c r="F373" s="2" t="s">
        <v>1781</v>
      </c>
      <c r="G373" s="2" t="s">
        <v>3093</v>
      </c>
      <c r="H373" s="2" t="s">
        <v>3092</v>
      </c>
      <c r="I373" s="1" t="s">
        <v>14</v>
      </c>
      <c r="J373" s="1" t="s">
        <v>3543</v>
      </c>
      <c r="K373" s="17"/>
      <c r="L373" s="54">
        <v>0.21149999999999999</v>
      </c>
      <c r="M373" s="39"/>
      <c r="N373" s="39"/>
      <c r="O373" s="39">
        <v>638.9</v>
      </c>
      <c r="P373" s="39"/>
      <c r="Q373" s="39"/>
      <c r="R373" s="39"/>
      <c r="S373" s="39"/>
      <c r="T373" s="39"/>
      <c r="U373" s="39"/>
      <c r="V373" s="39"/>
      <c r="W373" s="60" t="s">
        <v>1736</v>
      </c>
    </row>
    <row r="374" spans="1:23" s="79" customFormat="1" ht="38.25" x14ac:dyDescent="0.2">
      <c r="A374" s="1" t="s">
        <v>28</v>
      </c>
      <c r="B374" s="2" t="s">
        <v>29</v>
      </c>
      <c r="C374" s="2" t="s">
        <v>30</v>
      </c>
      <c r="D374" s="2" t="s">
        <v>31</v>
      </c>
      <c r="E374" s="2">
        <v>2022</v>
      </c>
      <c r="F374" s="2" t="s">
        <v>1783</v>
      </c>
      <c r="G374" s="2" t="s">
        <v>3093</v>
      </c>
      <c r="H374" s="2" t="s">
        <v>3092</v>
      </c>
      <c r="I374" s="1" t="s">
        <v>14</v>
      </c>
      <c r="J374" s="1" t="s">
        <v>3544</v>
      </c>
      <c r="K374" s="17"/>
      <c r="L374" s="54">
        <v>0.23849999999999999</v>
      </c>
      <c r="M374" s="39"/>
      <c r="N374" s="39"/>
      <c r="O374" s="39">
        <v>393.84</v>
      </c>
      <c r="P374" s="39"/>
      <c r="Q374" s="39"/>
      <c r="R374" s="39"/>
      <c r="S374" s="39"/>
      <c r="T374" s="39"/>
      <c r="U374" s="39"/>
      <c r="V374" s="39"/>
      <c r="W374" s="60" t="s">
        <v>1736</v>
      </c>
    </row>
    <row r="375" spans="1:23" s="79" customFormat="1" ht="38.25" x14ac:dyDescent="0.2">
      <c r="A375" s="1" t="s">
        <v>28</v>
      </c>
      <c r="B375" s="2" t="s">
        <v>29</v>
      </c>
      <c r="C375" s="2" t="s">
        <v>30</v>
      </c>
      <c r="D375" s="2" t="s">
        <v>31</v>
      </c>
      <c r="E375" s="2">
        <v>2022</v>
      </c>
      <c r="F375" s="2" t="s">
        <v>1785</v>
      </c>
      <c r="G375" s="2" t="s">
        <v>3093</v>
      </c>
      <c r="H375" s="2" t="s">
        <v>3092</v>
      </c>
      <c r="I375" s="1" t="s">
        <v>14</v>
      </c>
      <c r="J375" s="1" t="s">
        <v>3545</v>
      </c>
      <c r="K375" s="17"/>
      <c r="L375" s="54">
        <v>0.20699999999999999</v>
      </c>
      <c r="M375" s="39"/>
      <c r="N375" s="39"/>
      <c r="O375" s="39">
        <v>646.04</v>
      </c>
      <c r="P375" s="39"/>
      <c r="Q375" s="39"/>
      <c r="R375" s="39"/>
      <c r="S375" s="39"/>
      <c r="T375" s="39"/>
      <c r="U375" s="39"/>
      <c r="V375" s="39"/>
      <c r="W375" s="60" t="s">
        <v>1736</v>
      </c>
    </row>
    <row r="376" spans="1:23" s="79" customFormat="1" ht="38.25" x14ac:dyDescent="0.2">
      <c r="A376" s="1" t="s">
        <v>28</v>
      </c>
      <c r="B376" s="2" t="s">
        <v>29</v>
      </c>
      <c r="C376" s="2" t="s">
        <v>30</v>
      </c>
      <c r="D376" s="2" t="s">
        <v>31</v>
      </c>
      <c r="E376" s="2">
        <v>2022</v>
      </c>
      <c r="F376" s="2" t="s">
        <v>1787</v>
      </c>
      <c r="G376" s="2" t="s">
        <v>3093</v>
      </c>
      <c r="H376" s="2" t="s">
        <v>3092</v>
      </c>
      <c r="I376" s="1" t="s">
        <v>14</v>
      </c>
      <c r="J376" s="1" t="s">
        <v>3546</v>
      </c>
      <c r="K376" s="17"/>
      <c r="L376" s="54">
        <v>0.188</v>
      </c>
      <c r="M376" s="39"/>
      <c r="N376" s="39"/>
      <c r="O376" s="39">
        <v>564.23</v>
      </c>
      <c r="P376" s="39"/>
      <c r="Q376" s="39"/>
      <c r="R376" s="39"/>
      <c r="S376" s="39"/>
      <c r="T376" s="39"/>
      <c r="U376" s="39"/>
      <c r="V376" s="39"/>
      <c r="W376" s="60" t="s">
        <v>1736</v>
      </c>
    </row>
    <row r="377" spans="1:23" s="79" customFormat="1" ht="38.25" x14ac:dyDescent="0.2">
      <c r="A377" s="1" t="s">
        <v>28</v>
      </c>
      <c r="B377" s="2" t="s">
        <v>29</v>
      </c>
      <c r="C377" s="2" t="s">
        <v>30</v>
      </c>
      <c r="D377" s="2" t="s">
        <v>31</v>
      </c>
      <c r="E377" s="2">
        <v>2022</v>
      </c>
      <c r="F377" s="2" t="s">
        <v>1791</v>
      </c>
      <c r="G377" s="2" t="s">
        <v>3093</v>
      </c>
      <c r="H377" s="2" t="s">
        <v>3092</v>
      </c>
      <c r="I377" s="1" t="s">
        <v>14</v>
      </c>
      <c r="J377" s="1" t="s">
        <v>3547</v>
      </c>
      <c r="K377" s="17"/>
      <c r="L377" s="54">
        <v>0.19750000000000001</v>
      </c>
      <c r="M377" s="39"/>
      <c r="N377" s="39"/>
      <c r="O377" s="39">
        <v>687.67</v>
      </c>
      <c r="P377" s="39"/>
      <c r="Q377" s="39"/>
      <c r="R377" s="39"/>
      <c r="S377" s="39"/>
      <c r="T377" s="39"/>
      <c r="U377" s="39"/>
      <c r="V377" s="39"/>
      <c r="W377" s="60" t="s">
        <v>1736</v>
      </c>
    </row>
    <row r="378" spans="1:23" s="79" customFormat="1" ht="38.25" x14ac:dyDescent="0.2">
      <c r="A378" s="1" t="s">
        <v>28</v>
      </c>
      <c r="B378" s="2" t="s">
        <v>29</v>
      </c>
      <c r="C378" s="2" t="s">
        <v>30</v>
      </c>
      <c r="D378" s="2" t="s">
        <v>31</v>
      </c>
      <c r="E378" s="2">
        <v>2022</v>
      </c>
      <c r="F378" s="2" t="s">
        <v>311</v>
      </c>
      <c r="G378" s="2" t="s">
        <v>3093</v>
      </c>
      <c r="H378" s="2" t="s">
        <v>3092</v>
      </c>
      <c r="I378" s="1" t="s">
        <v>14</v>
      </c>
      <c r="J378" s="1" t="s">
        <v>3548</v>
      </c>
      <c r="K378" s="17"/>
      <c r="L378" s="54">
        <v>0.17799999999999999</v>
      </c>
      <c r="M378" s="39"/>
      <c r="N378" s="39"/>
      <c r="O378" s="39">
        <v>466.5</v>
      </c>
      <c r="P378" s="39"/>
      <c r="Q378" s="39"/>
      <c r="R378" s="39"/>
      <c r="S378" s="39"/>
      <c r="T378" s="39"/>
      <c r="U378" s="39"/>
      <c r="V378" s="39"/>
      <c r="W378" s="60" t="s">
        <v>1736</v>
      </c>
    </row>
    <row r="379" spans="1:23" s="79" customFormat="1" ht="38.25" x14ac:dyDescent="0.2">
      <c r="A379" s="1" t="s">
        <v>28</v>
      </c>
      <c r="B379" s="2" t="s">
        <v>29</v>
      </c>
      <c r="C379" s="2" t="s">
        <v>30</v>
      </c>
      <c r="D379" s="2" t="s">
        <v>31</v>
      </c>
      <c r="E379" s="2">
        <v>2022</v>
      </c>
      <c r="F379" s="2" t="s">
        <v>1794</v>
      </c>
      <c r="G379" s="2" t="s">
        <v>3093</v>
      </c>
      <c r="H379" s="2" t="s">
        <v>3092</v>
      </c>
      <c r="I379" s="1" t="s">
        <v>14</v>
      </c>
      <c r="J379" s="1" t="s">
        <v>3549</v>
      </c>
      <c r="K379" s="17"/>
      <c r="L379" s="54">
        <v>0.18110000000000001</v>
      </c>
      <c r="M379" s="39"/>
      <c r="N379" s="39"/>
      <c r="O379" s="39">
        <v>611.07000000000005</v>
      </c>
      <c r="P379" s="39"/>
      <c r="Q379" s="39"/>
      <c r="R379" s="39"/>
      <c r="S379" s="39"/>
      <c r="T379" s="39"/>
      <c r="U379" s="39"/>
      <c r="V379" s="39"/>
      <c r="W379" s="60" t="s">
        <v>1736</v>
      </c>
    </row>
    <row r="380" spans="1:23" s="79" customFormat="1" ht="38.25" x14ac:dyDescent="0.2">
      <c r="A380" s="1" t="s">
        <v>28</v>
      </c>
      <c r="B380" s="2" t="s">
        <v>29</v>
      </c>
      <c r="C380" s="2" t="s">
        <v>30</v>
      </c>
      <c r="D380" s="2" t="s">
        <v>31</v>
      </c>
      <c r="E380" s="2">
        <v>2022</v>
      </c>
      <c r="F380" s="2" t="s">
        <v>1796</v>
      </c>
      <c r="G380" s="2" t="s">
        <v>3093</v>
      </c>
      <c r="H380" s="2" t="s">
        <v>3092</v>
      </c>
      <c r="I380" s="1" t="s">
        <v>14</v>
      </c>
      <c r="J380" s="1" t="s">
        <v>3550</v>
      </c>
      <c r="K380" s="17"/>
      <c r="L380" s="54">
        <v>0.17899999999999999</v>
      </c>
      <c r="M380" s="39"/>
      <c r="N380" s="39"/>
      <c r="O380" s="39">
        <v>540.47</v>
      </c>
      <c r="P380" s="39"/>
      <c r="Q380" s="39"/>
      <c r="R380" s="39"/>
      <c r="S380" s="39"/>
      <c r="T380" s="39"/>
      <c r="U380" s="39"/>
      <c r="V380" s="39"/>
      <c r="W380" s="60" t="s">
        <v>1736</v>
      </c>
    </row>
    <row r="381" spans="1:23" s="79" customFormat="1" ht="38.25" x14ac:dyDescent="0.2">
      <c r="A381" s="1" t="s">
        <v>28</v>
      </c>
      <c r="B381" s="2" t="s">
        <v>29</v>
      </c>
      <c r="C381" s="2" t="s">
        <v>30</v>
      </c>
      <c r="D381" s="2" t="s">
        <v>31</v>
      </c>
      <c r="E381" s="2">
        <v>2022</v>
      </c>
      <c r="F381" s="2" t="s">
        <v>1798</v>
      </c>
      <c r="G381" s="2" t="s">
        <v>3093</v>
      </c>
      <c r="H381" s="2" t="s">
        <v>3092</v>
      </c>
      <c r="I381" s="1" t="s">
        <v>14</v>
      </c>
      <c r="J381" s="1" t="s">
        <v>3551</v>
      </c>
      <c r="K381" s="17"/>
      <c r="L381" s="54">
        <v>0.19</v>
      </c>
      <c r="M381" s="39"/>
      <c r="N381" s="39"/>
      <c r="O381" s="39">
        <v>573.38</v>
      </c>
      <c r="P381" s="39"/>
      <c r="Q381" s="39"/>
      <c r="R381" s="39"/>
      <c r="S381" s="39"/>
      <c r="T381" s="39"/>
      <c r="U381" s="39"/>
      <c r="V381" s="39"/>
      <c r="W381" s="60" t="s">
        <v>1736</v>
      </c>
    </row>
    <row r="382" spans="1:23" s="79" customFormat="1" ht="63.75" x14ac:dyDescent="0.2">
      <c r="A382" s="1" t="s">
        <v>389</v>
      </c>
      <c r="B382" s="2" t="s">
        <v>196</v>
      </c>
      <c r="C382" s="2" t="s">
        <v>30</v>
      </c>
      <c r="D382" s="2" t="s">
        <v>31</v>
      </c>
      <c r="E382" s="2">
        <v>2022</v>
      </c>
      <c r="F382" s="2" t="s">
        <v>1789</v>
      </c>
      <c r="G382" s="2" t="s">
        <v>3092</v>
      </c>
      <c r="H382" s="2" t="s">
        <v>3092</v>
      </c>
      <c r="I382" s="1" t="s">
        <v>3552</v>
      </c>
      <c r="J382" s="1" t="s">
        <v>3553</v>
      </c>
      <c r="K382" s="17"/>
      <c r="L382" s="54">
        <v>0.27900000000000003</v>
      </c>
      <c r="M382" s="39"/>
      <c r="N382" s="39"/>
      <c r="O382" s="39">
        <v>512</v>
      </c>
      <c r="P382" s="39"/>
      <c r="Q382" s="39"/>
      <c r="R382" s="39"/>
      <c r="S382" s="39"/>
      <c r="T382" s="39"/>
      <c r="U382" s="39"/>
      <c r="V382" s="39"/>
      <c r="W382" s="60"/>
    </row>
    <row r="383" spans="1:23" s="79" customFormat="1" ht="140.25" x14ac:dyDescent="0.2">
      <c r="A383" s="1" t="s">
        <v>446</v>
      </c>
      <c r="B383" s="2" t="s">
        <v>196</v>
      </c>
      <c r="C383" s="2" t="s">
        <v>30</v>
      </c>
      <c r="D383" s="2" t="s">
        <v>31</v>
      </c>
      <c r="E383" s="2">
        <v>2022</v>
      </c>
      <c r="F383" s="2" t="s">
        <v>1791</v>
      </c>
      <c r="G383" s="2" t="s">
        <v>3093</v>
      </c>
      <c r="H383" s="2" t="s">
        <v>3092</v>
      </c>
      <c r="I383" s="1" t="s">
        <v>14</v>
      </c>
      <c r="J383" s="1" t="s">
        <v>3554</v>
      </c>
      <c r="K383" s="17"/>
      <c r="L383" s="54">
        <v>0.40360000000000001</v>
      </c>
      <c r="M383" s="39"/>
      <c r="N383" s="39"/>
      <c r="O383" s="39">
        <f>2136*0.8</f>
        <v>1708.8000000000002</v>
      </c>
      <c r="P383" s="39"/>
      <c r="Q383" s="39"/>
      <c r="R383" s="39"/>
      <c r="S383" s="39"/>
      <c r="T383" s="39"/>
      <c r="U383" s="39"/>
      <c r="V383" s="39"/>
      <c r="W383" s="60" t="s">
        <v>1680</v>
      </c>
    </row>
    <row r="384" spans="1:23" s="79" customFormat="1" ht="165.75" x14ac:dyDescent="0.2">
      <c r="A384" s="1" t="s">
        <v>446</v>
      </c>
      <c r="B384" s="2" t="s">
        <v>196</v>
      </c>
      <c r="C384" s="2" t="s">
        <v>30</v>
      </c>
      <c r="D384" s="2" t="s">
        <v>31</v>
      </c>
      <c r="E384" s="2">
        <v>2022</v>
      </c>
      <c r="F384" s="2" t="s">
        <v>311</v>
      </c>
      <c r="G384" s="2" t="s">
        <v>3092</v>
      </c>
      <c r="H384" s="2" t="s">
        <v>3093</v>
      </c>
      <c r="I384" s="1" t="s">
        <v>3555</v>
      </c>
      <c r="J384" s="1" t="s">
        <v>14</v>
      </c>
      <c r="K384" s="17"/>
      <c r="L384" s="54"/>
      <c r="M384" s="39"/>
      <c r="N384" s="39"/>
      <c r="O384" s="39"/>
      <c r="P384" s="39"/>
      <c r="Q384" s="39"/>
      <c r="R384" s="39"/>
      <c r="S384" s="39"/>
      <c r="T384" s="39"/>
      <c r="U384" s="39"/>
      <c r="V384" s="39"/>
      <c r="W384" s="60" t="s">
        <v>1695</v>
      </c>
    </row>
    <row r="385" spans="1:23" s="79" customFormat="1" ht="25.5" x14ac:dyDescent="0.2">
      <c r="A385" s="1" t="s">
        <v>122</v>
      </c>
      <c r="B385" s="2" t="s">
        <v>10</v>
      </c>
      <c r="C385" s="2" t="s">
        <v>123</v>
      </c>
      <c r="D385" s="2" t="s">
        <v>124</v>
      </c>
      <c r="E385" s="2">
        <v>2022</v>
      </c>
      <c r="F385" s="2" t="s">
        <v>1776</v>
      </c>
      <c r="G385" s="2" t="s">
        <v>3095</v>
      </c>
      <c r="H385" s="2" t="s">
        <v>3092</v>
      </c>
      <c r="I385" s="1" t="s">
        <v>14</v>
      </c>
      <c r="J385" s="1" t="s">
        <v>3556</v>
      </c>
      <c r="K385" s="17"/>
      <c r="L385" s="54"/>
      <c r="M385" s="39"/>
      <c r="N385" s="39"/>
      <c r="O385" s="39"/>
      <c r="P385" s="39"/>
      <c r="Q385" s="39"/>
      <c r="R385" s="39"/>
      <c r="S385" s="39"/>
      <c r="T385" s="39"/>
      <c r="U385" s="39"/>
      <c r="V385" s="39"/>
      <c r="W385" s="60" t="s">
        <v>1735</v>
      </c>
    </row>
    <row r="386" spans="1:23" s="79" customFormat="1" ht="25.5" x14ac:dyDescent="0.2">
      <c r="A386" s="1" t="s">
        <v>122</v>
      </c>
      <c r="B386" s="2" t="s">
        <v>10</v>
      </c>
      <c r="C386" s="2" t="s">
        <v>123</v>
      </c>
      <c r="D386" s="2" t="s">
        <v>124</v>
      </c>
      <c r="E386" s="2">
        <v>2022</v>
      </c>
      <c r="F386" s="2" t="s">
        <v>1781</v>
      </c>
      <c r="G386" s="2" t="s">
        <v>3095</v>
      </c>
      <c r="H386" s="2" t="s">
        <v>3092</v>
      </c>
      <c r="I386" s="1" t="s">
        <v>14</v>
      </c>
      <c r="J386" s="1" t="s">
        <v>3557</v>
      </c>
      <c r="K386" s="17"/>
      <c r="L386" s="54"/>
      <c r="M386" s="39"/>
      <c r="N386" s="39"/>
      <c r="O386" s="39"/>
      <c r="P386" s="39"/>
      <c r="Q386" s="39"/>
      <c r="R386" s="39"/>
      <c r="S386" s="39"/>
      <c r="T386" s="39"/>
      <c r="U386" s="39"/>
      <c r="V386" s="39"/>
      <c r="W386" s="60" t="s">
        <v>1735</v>
      </c>
    </row>
    <row r="387" spans="1:23" s="79" customFormat="1" ht="25.5" x14ac:dyDescent="0.2">
      <c r="A387" s="1" t="s">
        <v>122</v>
      </c>
      <c r="B387" s="2" t="s">
        <v>10</v>
      </c>
      <c r="C387" s="2" t="s">
        <v>123</v>
      </c>
      <c r="D387" s="2" t="s">
        <v>124</v>
      </c>
      <c r="E387" s="2">
        <v>2022</v>
      </c>
      <c r="F387" s="2" t="s">
        <v>1791</v>
      </c>
      <c r="G387" s="2" t="s">
        <v>3095</v>
      </c>
      <c r="H387" s="2" t="s">
        <v>3092</v>
      </c>
      <c r="I387" s="1" t="s">
        <v>14</v>
      </c>
      <c r="J387" s="1" t="s">
        <v>3558</v>
      </c>
      <c r="K387" s="17"/>
      <c r="L387" s="54"/>
      <c r="M387" s="39"/>
      <c r="N387" s="39"/>
      <c r="O387" s="39"/>
      <c r="P387" s="39"/>
      <c r="Q387" s="39"/>
      <c r="R387" s="39"/>
      <c r="S387" s="39"/>
      <c r="T387" s="39"/>
      <c r="U387" s="39"/>
      <c r="V387" s="39"/>
      <c r="W387" s="60" t="s">
        <v>1735</v>
      </c>
    </row>
    <row r="388" spans="1:23" s="79" customFormat="1" ht="25.5" x14ac:dyDescent="0.2">
      <c r="A388" s="1" t="s">
        <v>56</v>
      </c>
      <c r="B388" s="2" t="s">
        <v>24</v>
      </c>
      <c r="C388" s="2" t="s">
        <v>57</v>
      </c>
      <c r="D388" s="2" t="s">
        <v>58</v>
      </c>
      <c r="E388" s="2">
        <v>2022</v>
      </c>
      <c r="F388" s="2" t="s">
        <v>1776</v>
      </c>
      <c r="G388" s="2" t="s">
        <v>3095</v>
      </c>
      <c r="H388" s="2" t="s">
        <v>3092</v>
      </c>
      <c r="I388" s="1" t="s">
        <v>14</v>
      </c>
      <c r="J388" s="1" t="s">
        <v>3559</v>
      </c>
      <c r="K388" s="17"/>
      <c r="L388" s="54">
        <v>0.23</v>
      </c>
      <c r="M388" s="39"/>
      <c r="N388" s="39"/>
      <c r="O388" s="39">
        <v>108.37</v>
      </c>
      <c r="P388" s="39"/>
      <c r="Q388" s="39"/>
      <c r="R388" s="39"/>
      <c r="S388" s="39"/>
      <c r="T388" s="39"/>
      <c r="U388" s="39"/>
      <c r="V388" s="39"/>
      <c r="W388" s="60"/>
    </row>
    <row r="389" spans="1:23" s="79" customFormat="1" ht="25.5" x14ac:dyDescent="0.2">
      <c r="A389" s="1" t="s">
        <v>56</v>
      </c>
      <c r="B389" s="2" t="s">
        <v>24</v>
      </c>
      <c r="C389" s="2" t="s">
        <v>57</v>
      </c>
      <c r="D389" s="2" t="s">
        <v>58</v>
      </c>
      <c r="E389" s="2">
        <v>2022</v>
      </c>
      <c r="F389" s="2" t="s">
        <v>1779</v>
      </c>
      <c r="G389" s="2" t="s">
        <v>3095</v>
      </c>
      <c r="H389" s="2" t="s">
        <v>3092</v>
      </c>
      <c r="I389" s="1" t="s">
        <v>14</v>
      </c>
      <c r="J389" s="1" t="s">
        <v>3560</v>
      </c>
      <c r="K389" s="17"/>
      <c r="L389" s="54">
        <v>0.23</v>
      </c>
      <c r="M389" s="39"/>
      <c r="N389" s="39"/>
      <c r="O389" s="39">
        <v>103.08</v>
      </c>
      <c r="P389" s="39"/>
      <c r="Q389" s="39"/>
      <c r="R389" s="39"/>
      <c r="S389" s="39"/>
      <c r="T389" s="39"/>
      <c r="U389" s="39"/>
      <c r="V389" s="39"/>
      <c r="W389" s="60" t="s">
        <v>3561</v>
      </c>
    </row>
    <row r="390" spans="1:23" s="79" customFormat="1" ht="25.5" x14ac:dyDescent="0.2">
      <c r="A390" s="1" t="s">
        <v>56</v>
      </c>
      <c r="B390" s="2" t="s">
        <v>24</v>
      </c>
      <c r="C390" s="2" t="s">
        <v>57</v>
      </c>
      <c r="D390" s="2" t="s">
        <v>58</v>
      </c>
      <c r="E390" s="2">
        <v>2022</v>
      </c>
      <c r="F390" s="2" t="s">
        <v>1781</v>
      </c>
      <c r="G390" s="2" t="s">
        <v>3095</v>
      </c>
      <c r="H390" s="2" t="s">
        <v>3092</v>
      </c>
      <c r="I390" s="1" t="s">
        <v>14</v>
      </c>
      <c r="J390" s="1" t="s">
        <v>3562</v>
      </c>
      <c r="K390" s="17"/>
      <c r="L390" s="54">
        <v>0.23</v>
      </c>
      <c r="M390" s="39"/>
      <c r="N390" s="39"/>
      <c r="O390" s="39">
        <v>112.43</v>
      </c>
      <c r="P390" s="39"/>
      <c r="Q390" s="39"/>
      <c r="R390" s="39"/>
      <c r="S390" s="39"/>
      <c r="T390" s="39"/>
      <c r="U390" s="39"/>
      <c r="V390" s="39"/>
      <c r="W390" s="60"/>
    </row>
    <row r="391" spans="1:23" s="79" customFormat="1" ht="25.5" x14ac:dyDescent="0.2">
      <c r="A391" s="1" t="s">
        <v>56</v>
      </c>
      <c r="B391" s="2" t="s">
        <v>24</v>
      </c>
      <c r="C391" s="2" t="s">
        <v>57</v>
      </c>
      <c r="D391" s="2" t="s">
        <v>58</v>
      </c>
      <c r="E391" s="2">
        <v>2022</v>
      </c>
      <c r="F391" s="2" t="s">
        <v>1783</v>
      </c>
      <c r="G391" s="2" t="s">
        <v>3095</v>
      </c>
      <c r="H391" s="2" t="s">
        <v>3092</v>
      </c>
      <c r="I391" s="1" t="s">
        <v>14</v>
      </c>
      <c r="J391" s="1" t="s">
        <v>3563</v>
      </c>
      <c r="K391" s="17"/>
      <c r="L391" s="54">
        <v>0.24</v>
      </c>
      <c r="M391" s="39"/>
      <c r="N391" s="39"/>
      <c r="O391" s="39">
        <v>104.2</v>
      </c>
      <c r="P391" s="39"/>
      <c r="Q391" s="39"/>
      <c r="R391" s="39"/>
      <c r="S391" s="39"/>
      <c r="T391" s="39"/>
      <c r="U391" s="39"/>
      <c r="V391" s="39"/>
      <c r="W391" s="60"/>
    </row>
    <row r="392" spans="1:23" s="79" customFormat="1" ht="25.5" x14ac:dyDescent="0.2">
      <c r="A392" s="1" t="s">
        <v>56</v>
      </c>
      <c r="B392" s="2" t="s">
        <v>24</v>
      </c>
      <c r="C392" s="2" t="s">
        <v>57</v>
      </c>
      <c r="D392" s="2" t="s">
        <v>58</v>
      </c>
      <c r="E392" s="2">
        <v>2022</v>
      </c>
      <c r="F392" s="2" t="s">
        <v>1785</v>
      </c>
      <c r="G392" s="2" t="s">
        <v>3095</v>
      </c>
      <c r="H392" s="2" t="s">
        <v>3092</v>
      </c>
      <c r="I392" s="1" t="s">
        <v>14</v>
      </c>
      <c r="J392" s="1" t="s">
        <v>3564</v>
      </c>
      <c r="K392" s="17"/>
      <c r="L392" s="54">
        <v>0.24</v>
      </c>
      <c r="M392" s="39"/>
      <c r="N392" s="39"/>
      <c r="O392" s="39">
        <v>110.6</v>
      </c>
      <c r="P392" s="39"/>
      <c r="Q392" s="39"/>
      <c r="R392" s="39"/>
      <c r="S392" s="39"/>
      <c r="T392" s="39"/>
      <c r="U392" s="39"/>
      <c r="V392" s="39"/>
      <c r="W392" s="60"/>
    </row>
    <row r="393" spans="1:23" s="79" customFormat="1" ht="25.5" x14ac:dyDescent="0.2">
      <c r="A393" s="1" t="s">
        <v>56</v>
      </c>
      <c r="B393" s="2" t="s">
        <v>24</v>
      </c>
      <c r="C393" s="2" t="s">
        <v>57</v>
      </c>
      <c r="D393" s="2" t="s">
        <v>58</v>
      </c>
      <c r="E393" s="2">
        <v>2022</v>
      </c>
      <c r="F393" s="2" t="s">
        <v>1787</v>
      </c>
      <c r="G393" s="2" t="s">
        <v>3095</v>
      </c>
      <c r="H393" s="2" t="s">
        <v>3092</v>
      </c>
      <c r="I393" s="1" t="s">
        <v>14</v>
      </c>
      <c r="J393" s="1" t="s">
        <v>3565</v>
      </c>
      <c r="K393" s="17"/>
      <c r="L393" s="54">
        <v>0.24</v>
      </c>
      <c r="M393" s="39"/>
      <c r="N393" s="39"/>
      <c r="O393" s="39">
        <v>93.83</v>
      </c>
      <c r="P393" s="39"/>
      <c r="Q393" s="39"/>
      <c r="R393" s="39"/>
      <c r="S393" s="39"/>
      <c r="T393" s="39"/>
      <c r="U393" s="39"/>
      <c r="V393" s="39"/>
      <c r="W393" s="60"/>
    </row>
    <row r="394" spans="1:23" s="79" customFormat="1" ht="25.5" x14ac:dyDescent="0.2">
      <c r="A394" s="1" t="s">
        <v>56</v>
      </c>
      <c r="B394" s="2" t="s">
        <v>24</v>
      </c>
      <c r="C394" s="2" t="s">
        <v>57</v>
      </c>
      <c r="D394" s="2" t="s">
        <v>58</v>
      </c>
      <c r="E394" s="2">
        <v>2022</v>
      </c>
      <c r="F394" s="2" t="s">
        <v>1789</v>
      </c>
      <c r="G394" s="2" t="s">
        <v>3095</v>
      </c>
      <c r="H394" s="2" t="s">
        <v>3092</v>
      </c>
      <c r="I394" s="1" t="s">
        <v>14</v>
      </c>
      <c r="J394" s="1" t="s">
        <v>3566</v>
      </c>
      <c r="K394" s="17"/>
      <c r="L394" s="75">
        <v>0.24</v>
      </c>
      <c r="M394" s="39"/>
      <c r="N394" s="39"/>
      <c r="O394" s="39">
        <v>118.56</v>
      </c>
      <c r="P394" s="39"/>
      <c r="Q394" s="39"/>
      <c r="R394" s="39"/>
      <c r="S394" s="39"/>
      <c r="T394" s="39"/>
      <c r="U394" s="39"/>
      <c r="V394" s="39"/>
      <c r="W394" s="60"/>
    </row>
    <row r="395" spans="1:23" s="79" customFormat="1" ht="25.5" x14ac:dyDescent="0.2">
      <c r="A395" s="1" t="s">
        <v>56</v>
      </c>
      <c r="B395" s="2" t="s">
        <v>24</v>
      </c>
      <c r="C395" s="2" t="s">
        <v>57</v>
      </c>
      <c r="D395" s="2" t="s">
        <v>58</v>
      </c>
      <c r="E395" s="2">
        <v>2022</v>
      </c>
      <c r="F395" s="2" t="s">
        <v>1791</v>
      </c>
      <c r="G395" s="2" t="s">
        <v>3095</v>
      </c>
      <c r="H395" s="2" t="s">
        <v>3092</v>
      </c>
      <c r="I395" s="1" t="s">
        <v>14</v>
      </c>
      <c r="J395" s="1" t="s">
        <v>3567</v>
      </c>
      <c r="K395" s="17"/>
      <c r="L395" s="54">
        <v>0.21</v>
      </c>
      <c r="M395" s="39"/>
      <c r="N395" s="39"/>
      <c r="O395" s="39">
        <v>109.7</v>
      </c>
      <c r="P395" s="39"/>
      <c r="Q395" s="39"/>
      <c r="R395" s="39"/>
      <c r="S395" s="39"/>
      <c r="T395" s="39"/>
      <c r="U395" s="39"/>
      <c r="V395" s="39"/>
      <c r="W395" s="60"/>
    </row>
    <row r="396" spans="1:23" s="79" customFormat="1" ht="25.5" x14ac:dyDescent="0.2">
      <c r="A396" s="1" t="s">
        <v>56</v>
      </c>
      <c r="B396" s="2" t="s">
        <v>24</v>
      </c>
      <c r="C396" s="2" t="s">
        <v>57</v>
      </c>
      <c r="D396" s="2" t="s">
        <v>58</v>
      </c>
      <c r="E396" s="2">
        <v>2022</v>
      </c>
      <c r="F396" s="2" t="s">
        <v>311</v>
      </c>
      <c r="G396" s="2" t="s">
        <v>3095</v>
      </c>
      <c r="H396" s="2" t="s">
        <v>3092</v>
      </c>
      <c r="I396" s="1" t="s">
        <v>14</v>
      </c>
      <c r="J396" s="1" t="s">
        <v>3568</v>
      </c>
      <c r="K396" s="17"/>
      <c r="L396" s="54">
        <v>0.22500000000000001</v>
      </c>
      <c r="M396" s="39"/>
      <c r="N396" s="39"/>
      <c r="O396" s="39">
        <v>129.41</v>
      </c>
      <c r="P396" s="39"/>
      <c r="Q396" s="39"/>
      <c r="R396" s="39"/>
      <c r="S396" s="39"/>
      <c r="T396" s="39"/>
      <c r="U396" s="39"/>
      <c r="V396" s="39"/>
      <c r="W396" s="60"/>
    </row>
    <row r="397" spans="1:23" s="79" customFormat="1" ht="25.5" x14ac:dyDescent="0.2">
      <c r="A397" s="1" t="s">
        <v>56</v>
      </c>
      <c r="B397" s="2" t="s">
        <v>24</v>
      </c>
      <c r="C397" s="2" t="s">
        <v>57</v>
      </c>
      <c r="D397" s="2" t="s">
        <v>58</v>
      </c>
      <c r="E397" s="2">
        <v>2022</v>
      </c>
      <c r="F397" s="2" t="s">
        <v>1794</v>
      </c>
      <c r="G397" s="2" t="s">
        <v>3095</v>
      </c>
      <c r="H397" s="2" t="s">
        <v>3092</v>
      </c>
      <c r="I397" s="1" t="s">
        <v>14</v>
      </c>
      <c r="J397" s="1" t="s">
        <v>3569</v>
      </c>
      <c r="K397" s="17"/>
      <c r="L397" s="54">
        <v>0.23</v>
      </c>
      <c r="M397" s="39"/>
      <c r="N397" s="39"/>
      <c r="O397" s="39">
        <v>114.59</v>
      </c>
      <c r="P397" s="39"/>
      <c r="Q397" s="39"/>
      <c r="R397" s="39"/>
      <c r="S397" s="39"/>
      <c r="T397" s="39"/>
      <c r="U397" s="39"/>
      <c r="V397" s="39"/>
      <c r="W397" s="60"/>
    </row>
    <row r="398" spans="1:23" s="79" customFormat="1" ht="25.5" x14ac:dyDescent="0.2">
      <c r="A398" s="1" t="s">
        <v>56</v>
      </c>
      <c r="B398" s="2" t="s">
        <v>24</v>
      </c>
      <c r="C398" s="2" t="s">
        <v>57</v>
      </c>
      <c r="D398" s="2" t="s">
        <v>58</v>
      </c>
      <c r="E398" s="2">
        <v>2022</v>
      </c>
      <c r="F398" s="2" t="s">
        <v>1796</v>
      </c>
      <c r="G398" s="2" t="s">
        <v>3095</v>
      </c>
      <c r="H398" s="2" t="s">
        <v>3092</v>
      </c>
      <c r="I398" s="1" t="s">
        <v>14</v>
      </c>
      <c r="J398" s="1" t="s">
        <v>3570</v>
      </c>
      <c r="K398" s="17"/>
      <c r="L398" s="54">
        <v>0.22</v>
      </c>
      <c r="M398" s="39"/>
      <c r="N398" s="39"/>
      <c r="O398" s="39">
        <v>131.53</v>
      </c>
      <c r="P398" s="39"/>
      <c r="Q398" s="39"/>
      <c r="R398" s="39"/>
      <c r="S398" s="39"/>
      <c r="T398" s="39"/>
      <c r="U398" s="39"/>
      <c r="V398" s="39"/>
      <c r="W398" s="60"/>
    </row>
    <row r="399" spans="1:23" s="79" customFormat="1" ht="25.5" x14ac:dyDescent="0.2">
      <c r="A399" s="1" t="s">
        <v>56</v>
      </c>
      <c r="B399" s="2" t="s">
        <v>24</v>
      </c>
      <c r="C399" s="2" t="s">
        <v>57</v>
      </c>
      <c r="D399" s="2" t="s">
        <v>58</v>
      </c>
      <c r="E399" s="2">
        <v>2022</v>
      </c>
      <c r="F399" s="2" t="s">
        <v>1798</v>
      </c>
      <c r="G399" s="2" t="s">
        <v>3095</v>
      </c>
      <c r="H399" s="2" t="s">
        <v>3092</v>
      </c>
      <c r="I399" s="1" t="s">
        <v>14</v>
      </c>
      <c r="J399" s="1" t="s">
        <v>3571</v>
      </c>
      <c r="K399" s="17"/>
      <c r="L399" s="54">
        <v>0.22</v>
      </c>
      <c r="M399" s="39"/>
      <c r="N399" s="39"/>
      <c r="O399" s="39">
        <v>121.97</v>
      </c>
      <c r="P399" s="39"/>
      <c r="Q399" s="39"/>
      <c r="R399" s="39"/>
      <c r="S399" s="39"/>
      <c r="T399" s="39"/>
      <c r="U399" s="39"/>
      <c r="V399" s="39"/>
      <c r="W399" s="60"/>
    </row>
    <row r="400" spans="1:23" s="79" customFormat="1" ht="25.5" x14ac:dyDescent="0.2">
      <c r="A400" s="1" t="s">
        <v>393</v>
      </c>
      <c r="B400" s="2" t="s">
        <v>32</v>
      </c>
      <c r="C400" s="2" t="s">
        <v>394</v>
      </c>
      <c r="D400" s="2" t="s">
        <v>243</v>
      </c>
      <c r="E400" s="2">
        <v>2022</v>
      </c>
      <c r="F400" s="2" t="s">
        <v>1796</v>
      </c>
      <c r="G400" s="2" t="s">
        <v>3095</v>
      </c>
      <c r="H400" s="2" t="s">
        <v>3092</v>
      </c>
      <c r="I400" s="1" t="s">
        <v>14</v>
      </c>
      <c r="J400" s="1" t="s">
        <v>3572</v>
      </c>
      <c r="K400" s="17"/>
      <c r="L400" s="54" t="s">
        <v>1670</v>
      </c>
      <c r="M400" s="39"/>
      <c r="N400" s="39"/>
      <c r="O400" s="39"/>
      <c r="P400" s="39"/>
      <c r="Q400" s="39"/>
      <c r="R400" s="39">
        <v>36.42</v>
      </c>
      <c r="S400" s="39"/>
      <c r="T400" s="39"/>
      <c r="U400" s="39"/>
      <c r="V400" s="39"/>
      <c r="W400" s="60" t="s">
        <v>1984</v>
      </c>
    </row>
    <row r="401" spans="1:23" s="79" customFormat="1" ht="63.75" x14ac:dyDescent="0.2">
      <c r="A401" s="1" t="s">
        <v>347</v>
      </c>
      <c r="B401" s="2" t="s">
        <v>222</v>
      </c>
      <c r="C401" s="2" t="s">
        <v>348</v>
      </c>
      <c r="D401" s="2" t="s">
        <v>192</v>
      </c>
      <c r="E401" s="2">
        <v>2022</v>
      </c>
      <c r="F401" s="2" t="s">
        <v>1796</v>
      </c>
      <c r="G401" s="2" t="s">
        <v>3092</v>
      </c>
      <c r="H401" s="2" t="s">
        <v>3093</v>
      </c>
      <c r="I401" s="1" t="s">
        <v>3573</v>
      </c>
      <c r="J401" s="1" t="s">
        <v>3574</v>
      </c>
      <c r="K401" s="17"/>
      <c r="L401" s="54"/>
      <c r="M401" s="39"/>
      <c r="N401" s="39"/>
      <c r="O401" s="39"/>
      <c r="P401" s="39"/>
      <c r="Q401" s="39"/>
      <c r="R401" s="39"/>
      <c r="S401" s="39"/>
      <c r="T401" s="39"/>
      <c r="U401" s="39"/>
      <c r="V401" s="39"/>
      <c r="W401" s="60" t="s">
        <v>3575</v>
      </c>
    </row>
    <row r="402" spans="1:23" s="79" customFormat="1" ht="140.25" x14ac:dyDescent="0.2">
      <c r="A402" s="1" t="s">
        <v>3576</v>
      </c>
      <c r="B402" s="2" t="s">
        <v>196</v>
      </c>
      <c r="C402" s="2" t="s">
        <v>356</v>
      </c>
      <c r="D402" s="2" t="s">
        <v>356</v>
      </c>
      <c r="E402" s="2">
        <v>2022</v>
      </c>
      <c r="F402" s="2" t="s">
        <v>311</v>
      </c>
      <c r="G402" s="2" t="s">
        <v>3092</v>
      </c>
      <c r="H402" s="2" t="s">
        <v>3092</v>
      </c>
      <c r="I402" s="1" t="s">
        <v>3577</v>
      </c>
      <c r="J402" s="1" t="s">
        <v>3578</v>
      </c>
      <c r="K402" s="17"/>
      <c r="L402" s="54">
        <v>0.20699999999999999</v>
      </c>
      <c r="M402" s="39"/>
      <c r="N402" s="39"/>
      <c r="O402" s="39">
        <f>287.6+105.2+148.3</f>
        <v>541.1</v>
      </c>
      <c r="P402" s="39"/>
      <c r="Q402" s="39"/>
      <c r="R402" s="39"/>
      <c r="S402" s="39"/>
      <c r="T402" s="39"/>
      <c r="U402" s="39"/>
      <c r="V402" s="39"/>
      <c r="W402" s="60"/>
    </row>
    <row r="403" spans="1:23" s="79" customFormat="1" ht="38.25" x14ac:dyDescent="0.2">
      <c r="A403" s="1" t="s">
        <v>15</v>
      </c>
      <c r="B403" s="2" t="s">
        <v>16</v>
      </c>
      <c r="C403" s="2" t="s">
        <v>17</v>
      </c>
      <c r="D403" s="2" t="s">
        <v>18</v>
      </c>
      <c r="E403" s="2">
        <v>2022</v>
      </c>
      <c r="F403" s="2" t="s">
        <v>1776</v>
      </c>
      <c r="G403" s="2" t="s">
        <v>3093</v>
      </c>
      <c r="H403" s="2" t="s">
        <v>3092</v>
      </c>
      <c r="I403" s="1" t="s">
        <v>14</v>
      </c>
      <c r="J403" s="1" t="s">
        <v>3579</v>
      </c>
      <c r="K403" s="17"/>
      <c r="L403" s="80">
        <v>0.27200000000000002</v>
      </c>
      <c r="M403" s="15"/>
      <c r="N403" s="15"/>
      <c r="O403" s="15">
        <v>307.488</v>
      </c>
      <c r="P403" s="15"/>
      <c r="Q403" s="15"/>
      <c r="R403" s="15"/>
      <c r="S403" s="15"/>
      <c r="T403" s="15">
        <v>733.00099999999998</v>
      </c>
      <c r="U403" s="15"/>
      <c r="V403" s="15"/>
      <c r="W403" s="60"/>
    </row>
    <row r="404" spans="1:23" s="79" customFormat="1" ht="38.25" x14ac:dyDescent="0.2">
      <c r="A404" s="1" t="s">
        <v>15</v>
      </c>
      <c r="B404" s="2" t="s">
        <v>16</v>
      </c>
      <c r="C404" s="2" t="s">
        <v>17</v>
      </c>
      <c r="D404" s="2" t="s">
        <v>18</v>
      </c>
      <c r="E404" s="2">
        <v>2022</v>
      </c>
      <c r="F404" s="2" t="s">
        <v>1779</v>
      </c>
      <c r="G404" s="2" t="s">
        <v>3093</v>
      </c>
      <c r="H404" s="2" t="s">
        <v>3092</v>
      </c>
      <c r="I404" s="1" t="s">
        <v>14</v>
      </c>
      <c r="J404" s="1" t="s">
        <v>3580</v>
      </c>
      <c r="K404" s="17"/>
      <c r="L404" s="54">
        <v>0.27</v>
      </c>
      <c r="M404" s="39"/>
      <c r="N404" s="39"/>
      <c r="O404" s="39">
        <v>289.98500000000001</v>
      </c>
      <c r="P404" s="39"/>
      <c r="Q404" s="39"/>
      <c r="R404" s="39"/>
      <c r="S404" s="39"/>
      <c r="T404" s="39">
        <v>652.01499999999999</v>
      </c>
      <c r="U404" s="39"/>
      <c r="V404" s="39"/>
      <c r="W404" s="60"/>
    </row>
    <row r="405" spans="1:23" s="79" customFormat="1" ht="38.25" x14ac:dyDescent="0.2">
      <c r="A405" s="1" t="s">
        <v>15</v>
      </c>
      <c r="B405" s="2" t="s">
        <v>16</v>
      </c>
      <c r="C405" s="2" t="s">
        <v>17</v>
      </c>
      <c r="D405" s="2" t="s">
        <v>18</v>
      </c>
      <c r="E405" s="2">
        <v>2022</v>
      </c>
      <c r="F405" s="2" t="s">
        <v>1781</v>
      </c>
      <c r="G405" s="2" t="s">
        <v>3093</v>
      </c>
      <c r="H405" s="2" t="s">
        <v>3092</v>
      </c>
      <c r="I405" s="1" t="s">
        <v>14</v>
      </c>
      <c r="J405" s="1" t="s">
        <v>3581</v>
      </c>
      <c r="K405" s="17"/>
      <c r="L405" s="54">
        <v>0.27500000000000002</v>
      </c>
      <c r="M405" s="39"/>
      <c r="N405" s="39"/>
      <c r="O405" s="39">
        <v>292.42099999999999</v>
      </c>
      <c r="P405" s="39"/>
      <c r="Q405" s="39"/>
      <c r="R405" s="39"/>
      <c r="S405" s="39"/>
      <c r="T405" s="39">
        <v>775.77099999999996</v>
      </c>
      <c r="U405" s="39"/>
      <c r="V405" s="39"/>
      <c r="W405" s="60"/>
    </row>
    <row r="406" spans="1:23" s="79" customFormat="1" ht="38.25" x14ac:dyDescent="0.2">
      <c r="A406" s="1" t="s">
        <v>15</v>
      </c>
      <c r="B406" s="2" t="s">
        <v>16</v>
      </c>
      <c r="C406" s="2" t="s">
        <v>17</v>
      </c>
      <c r="D406" s="2" t="s">
        <v>18</v>
      </c>
      <c r="E406" s="2">
        <v>2022</v>
      </c>
      <c r="F406" s="2" t="s">
        <v>1783</v>
      </c>
      <c r="G406" s="2" t="s">
        <v>3093</v>
      </c>
      <c r="H406" s="2" t="s">
        <v>3092</v>
      </c>
      <c r="I406" s="1" t="s">
        <v>14</v>
      </c>
      <c r="J406" s="1" t="s">
        <v>3582</v>
      </c>
      <c r="K406" s="17"/>
      <c r="L406" s="54">
        <v>0.28999999999999998</v>
      </c>
      <c r="M406" s="39"/>
      <c r="N406" s="39"/>
      <c r="O406" s="39">
        <v>1139.27</v>
      </c>
      <c r="P406" s="39"/>
      <c r="Q406" s="39"/>
      <c r="R406" s="39"/>
      <c r="S406" s="39"/>
      <c r="T406" s="15">
        <v>597.30200000000002</v>
      </c>
      <c r="U406" s="39"/>
      <c r="V406" s="39"/>
      <c r="W406" s="60"/>
    </row>
    <row r="407" spans="1:23" s="79" customFormat="1" ht="25.5" x14ac:dyDescent="0.2">
      <c r="A407" s="1" t="s">
        <v>15</v>
      </c>
      <c r="B407" s="2" t="s">
        <v>16</v>
      </c>
      <c r="C407" s="2" t="s">
        <v>17</v>
      </c>
      <c r="D407" s="2" t="s">
        <v>18</v>
      </c>
      <c r="E407" s="2">
        <v>2022</v>
      </c>
      <c r="F407" s="2" t="s">
        <v>1785</v>
      </c>
      <c r="G407" s="2" t="s">
        <v>3093</v>
      </c>
      <c r="H407" s="2" t="s">
        <v>3092</v>
      </c>
      <c r="I407" s="1" t="s">
        <v>14</v>
      </c>
      <c r="J407" s="1" t="s">
        <v>3583</v>
      </c>
      <c r="K407" s="17"/>
      <c r="L407" s="54">
        <v>0.29499999999999998</v>
      </c>
      <c r="M407" s="39"/>
      <c r="N407" s="39"/>
      <c r="O407" s="39">
        <v>1606.13</v>
      </c>
      <c r="P407" s="39"/>
      <c r="Q407" s="39"/>
      <c r="R407" s="39"/>
      <c r="S407" s="39"/>
      <c r="T407" s="39">
        <v>658.6</v>
      </c>
      <c r="U407" s="39"/>
      <c r="V407" s="39"/>
      <c r="W407" s="60"/>
    </row>
    <row r="408" spans="1:23" s="79" customFormat="1" ht="25.5" x14ac:dyDescent="0.2">
      <c r="A408" s="1" t="s">
        <v>15</v>
      </c>
      <c r="B408" s="2" t="s">
        <v>16</v>
      </c>
      <c r="C408" s="2" t="s">
        <v>17</v>
      </c>
      <c r="D408" s="2" t="s">
        <v>18</v>
      </c>
      <c r="E408" s="2">
        <v>2022</v>
      </c>
      <c r="F408" s="2" t="s">
        <v>1787</v>
      </c>
      <c r="G408" s="2" t="s">
        <v>3093</v>
      </c>
      <c r="H408" s="2" t="s">
        <v>3092</v>
      </c>
      <c r="I408" s="1" t="s">
        <v>14</v>
      </c>
      <c r="J408" s="1" t="s">
        <v>3584</v>
      </c>
      <c r="K408" s="17"/>
      <c r="L408" s="54">
        <v>0.30199999999999999</v>
      </c>
      <c r="M408" s="39"/>
      <c r="N408" s="39"/>
      <c r="O408" s="39">
        <v>712.9</v>
      </c>
      <c r="P408" s="39"/>
      <c r="Q408" s="39"/>
      <c r="R408" s="39"/>
      <c r="S408" s="39"/>
      <c r="T408" s="39">
        <v>757.6</v>
      </c>
      <c r="U408" s="39"/>
      <c r="V408" s="39"/>
      <c r="W408" s="60"/>
    </row>
    <row r="409" spans="1:23" s="79" customFormat="1" ht="38.25" x14ac:dyDescent="0.2">
      <c r="A409" s="1" t="s">
        <v>15</v>
      </c>
      <c r="B409" s="2" t="s">
        <v>16</v>
      </c>
      <c r="C409" s="2" t="s">
        <v>17</v>
      </c>
      <c r="D409" s="2" t="s">
        <v>18</v>
      </c>
      <c r="E409" s="2">
        <v>2022</v>
      </c>
      <c r="F409" s="2" t="s">
        <v>1789</v>
      </c>
      <c r="G409" s="2" t="s">
        <v>3093</v>
      </c>
      <c r="H409" s="2" t="s">
        <v>3092</v>
      </c>
      <c r="I409" s="1" t="s">
        <v>14</v>
      </c>
      <c r="J409" s="1" t="s">
        <v>3585</v>
      </c>
      <c r="K409" s="17"/>
      <c r="L409" s="54">
        <v>0.26700000000000002</v>
      </c>
      <c r="M409" s="39"/>
      <c r="N409" s="39"/>
      <c r="O409" s="39">
        <v>442.483</v>
      </c>
      <c r="P409" s="39"/>
      <c r="Q409" s="39"/>
      <c r="R409" s="39"/>
      <c r="S409" s="39"/>
      <c r="T409" s="39">
        <v>721.73500000000001</v>
      </c>
      <c r="U409" s="39"/>
      <c r="V409" s="39"/>
      <c r="W409" s="60"/>
    </row>
    <row r="410" spans="1:23" s="79" customFormat="1" ht="51" x14ac:dyDescent="0.2">
      <c r="A410" s="1" t="s">
        <v>15</v>
      </c>
      <c r="B410" s="2" t="s">
        <v>16</v>
      </c>
      <c r="C410" s="2" t="s">
        <v>17</v>
      </c>
      <c r="D410" s="2" t="s">
        <v>18</v>
      </c>
      <c r="E410" s="2">
        <v>2022</v>
      </c>
      <c r="F410" s="2" t="s">
        <v>1791</v>
      </c>
      <c r="G410" s="2" t="s">
        <v>3093</v>
      </c>
      <c r="H410" s="2" t="s">
        <v>3092</v>
      </c>
      <c r="I410" s="1" t="s">
        <v>14</v>
      </c>
      <c r="J410" s="1" t="s">
        <v>3586</v>
      </c>
      <c r="K410" s="17"/>
      <c r="L410" s="54">
        <v>0.27500000000000002</v>
      </c>
      <c r="M410" s="39"/>
      <c r="N410" s="39"/>
      <c r="O410" s="39">
        <v>484.72800000000001</v>
      </c>
      <c r="P410" s="39"/>
      <c r="Q410" s="39"/>
      <c r="R410" s="39"/>
      <c r="S410" s="39"/>
      <c r="T410" s="39">
        <v>580.38800000000003</v>
      </c>
      <c r="U410" s="39"/>
      <c r="V410" s="39"/>
      <c r="W410" s="60"/>
    </row>
    <row r="411" spans="1:23" s="79" customFormat="1" ht="63.75" x14ac:dyDescent="0.2">
      <c r="A411" s="1" t="s">
        <v>15</v>
      </c>
      <c r="B411" s="2" t="s">
        <v>16</v>
      </c>
      <c r="C411" s="2" t="s">
        <v>17</v>
      </c>
      <c r="D411" s="2" t="s">
        <v>18</v>
      </c>
      <c r="E411" s="2">
        <v>2022</v>
      </c>
      <c r="F411" s="2" t="s">
        <v>311</v>
      </c>
      <c r="G411" s="2" t="s">
        <v>3093</v>
      </c>
      <c r="H411" s="2" t="s">
        <v>3092</v>
      </c>
      <c r="I411" s="1" t="s">
        <v>14</v>
      </c>
      <c r="J411" s="1" t="s">
        <v>3587</v>
      </c>
      <c r="K411" s="17"/>
      <c r="L411" s="54">
        <v>0.28699999999999998</v>
      </c>
      <c r="M411" s="39"/>
      <c r="N411" s="39"/>
      <c r="O411" s="39">
        <v>335.98500000000001</v>
      </c>
      <c r="P411" s="39"/>
      <c r="Q411" s="39"/>
      <c r="R411" s="39"/>
      <c r="S411" s="39"/>
      <c r="T411" s="39">
        <v>648.46100000000001</v>
      </c>
      <c r="U411" s="39"/>
      <c r="V411" s="39">
        <v>353.01</v>
      </c>
      <c r="W411" s="60"/>
    </row>
    <row r="412" spans="1:23" s="79" customFormat="1" ht="38.25" x14ac:dyDescent="0.2">
      <c r="A412" s="1" t="s">
        <v>15</v>
      </c>
      <c r="B412" s="2" t="s">
        <v>16</v>
      </c>
      <c r="C412" s="2" t="s">
        <v>17</v>
      </c>
      <c r="D412" s="2" t="s">
        <v>18</v>
      </c>
      <c r="E412" s="2">
        <v>2022</v>
      </c>
      <c r="F412" s="2" t="s">
        <v>1794</v>
      </c>
      <c r="G412" s="2" t="s">
        <v>3093</v>
      </c>
      <c r="H412" s="2" t="s">
        <v>3092</v>
      </c>
      <c r="I412" s="1" t="s">
        <v>14</v>
      </c>
      <c r="J412" s="1" t="s">
        <v>3588</v>
      </c>
      <c r="K412" s="17"/>
      <c r="L412" s="54">
        <v>0.27900000000000003</v>
      </c>
      <c r="M412" s="39"/>
      <c r="N412" s="39"/>
      <c r="O412" s="39">
        <v>243.35599999999999</v>
      </c>
      <c r="P412" s="39"/>
      <c r="Q412" s="39"/>
      <c r="R412" s="39"/>
      <c r="S412" s="39"/>
      <c r="T412" s="39">
        <v>648.60799999999995</v>
      </c>
      <c r="U412" s="39"/>
      <c r="V412" s="39"/>
      <c r="W412" s="60"/>
    </row>
    <row r="413" spans="1:23" s="79" customFormat="1" ht="76.5" x14ac:dyDescent="0.2">
      <c r="A413" s="1" t="s">
        <v>15</v>
      </c>
      <c r="B413" s="2" t="s">
        <v>16</v>
      </c>
      <c r="C413" s="2" t="s">
        <v>17</v>
      </c>
      <c r="D413" s="2" t="s">
        <v>18</v>
      </c>
      <c r="E413" s="2">
        <v>2022</v>
      </c>
      <c r="F413" s="2" t="s">
        <v>1798</v>
      </c>
      <c r="G413" s="2" t="s">
        <v>3093</v>
      </c>
      <c r="H413" s="2" t="s">
        <v>3092</v>
      </c>
      <c r="I413" s="1" t="s">
        <v>14</v>
      </c>
      <c r="J413" s="1" t="s">
        <v>3589</v>
      </c>
      <c r="K413" s="17"/>
      <c r="L413" s="54" t="s">
        <v>3590</v>
      </c>
      <c r="M413" s="39"/>
      <c r="N413" s="39"/>
      <c r="O413" s="39">
        <f>163.969+506.904+1835</f>
        <v>2505.873</v>
      </c>
      <c r="P413" s="39"/>
      <c r="Q413" s="39"/>
      <c r="R413" s="39"/>
      <c r="S413" s="39"/>
      <c r="T413" s="39">
        <v>541.05200000000002</v>
      </c>
      <c r="U413" s="39"/>
      <c r="V413" s="39"/>
      <c r="W413" s="60" t="s">
        <v>3591</v>
      </c>
    </row>
    <row r="414" spans="1:23" s="79" customFormat="1" ht="38.25" x14ac:dyDescent="0.2">
      <c r="A414" s="1" t="s">
        <v>3592</v>
      </c>
      <c r="B414" s="2" t="s">
        <v>196</v>
      </c>
      <c r="C414" s="2" t="s">
        <v>3593</v>
      </c>
      <c r="D414" s="2" t="s">
        <v>3594</v>
      </c>
      <c r="E414" s="2">
        <v>2022</v>
      </c>
      <c r="F414" s="2" t="s">
        <v>311</v>
      </c>
      <c r="G414" s="2" t="s">
        <v>3092</v>
      </c>
      <c r="H414" s="2" t="s">
        <v>3093</v>
      </c>
      <c r="I414" s="1" t="s">
        <v>3595</v>
      </c>
      <c r="J414" s="1" t="s">
        <v>14</v>
      </c>
      <c r="K414" s="17"/>
      <c r="L414" s="54"/>
      <c r="M414" s="39"/>
      <c r="N414" s="39"/>
      <c r="O414" s="39"/>
      <c r="P414" s="39"/>
      <c r="Q414" s="39"/>
      <c r="R414" s="39"/>
      <c r="S414" s="39"/>
      <c r="T414" s="39"/>
      <c r="U414" s="39"/>
      <c r="V414" s="39"/>
      <c r="W414" s="60" t="s">
        <v>3596</v>
      </c>
    </row>
    <row r="415" spans="1:23" s="79" customFormat="1" ht="25.5" x14ac:dyDescent="0.2">
      <c r="A415" s="1" t="s">
        <v>171</v>
      </c>
      <c r="B415" s="2" t="s">
        <v>48</v>
      </c>
      <c r="C415" s="2" t="s">
        <v>172</v>
      </c>
      <c r="D415" s="2" t="s">
        <v>173</v>
      </c>
      <c r="E415" s="2">
        <v>2022</v>
      </c>
      <c r="F415" s="2" t="s">
        <v>1776</v>
      </c>
      <c r="G415" s="2" t="s">
        <v>3095</v>
      </c>
      <c r="H415" s="2" t="s">
        <v>3092</v>
      </c>
      <c r="I415" s="1" t="s">
        <v>14</v>
      </c>
      <c r="J415" s="1" t="s">
        <v>3597</v>
      </c>
      <c r="K415" s="17"/>
      <c r="L415" s="80">
        <v>0.17449999999999999</v>
      </c>
      <c r="M415" s="15"/>
      <c r="N415" s="15"/>
      <c r="O415" s="15">
        <v>254.35</v>
      </c>
      <c r="P415" s="15"/>
      <c r="Q415" s="15"/>
      <c r="R415" s="15"/>
      <c r="S415" s="15"/>
      <c r="T415" s="15"/>
      <c r="U415" s="15"/>
      <c r="V415" s="15"/>
      <c r="W415" s="60" t="s">
        <v>1681</v>
      </c>
    </row>
    <row r="416" spans="1:23" s="79" customFormat="1" ht="25.5" x14ac:dyDescent="0.2">
      <c r="A416" s="1" t="s">
        <v>171</v>
      </c>
      <c r="B416" s="2" t="s">
        <v>48</v>
      </c>
      <c r="C416" s="2" t="s">
        <v>172</v>
      </c>
      <c r="D416" s="2" t="s">
        <v>173</v>
      </c>
      <c r="E416" s="2">
        <v>2022</v>
      </c>
      <c r="F416" s="2" t="s">
        <v>1779</v>
      </c>
      <c r="G416" s="2" t="s">
        <v>3095</v>
      </c>
      <c r="H416" s="2" t="s">
        <v>3092</v>
      </c>
      <c r="I416" s="1" t="s">
        <v>14</v>
      </c>
      <c r="J416" s="1" t="s">
        <v>3598</v>
      </c>
      <c r="K416" s="17"/>
      <c r="L416" s="54">
        <v>0.17599999999999999</v>
      </c>
      <c r="M416" s="39"/>
      <c r="N416" s="39"/>
      <c r="O416" s="39">
        <v>210.14</v>
      </c>
      <c r="P416" s="39"/>
      <c r="Q416" s="39"/>
      <c r="R416" s="39"/>
      <c r="S416" s="39"/>
      <c r="T416" s="39"/>
      <c r="U416" s="39"/>
      <c r="V416" s="39"/>
      <c r="W416" s="60" t="s">
        <v>1681</v>
      </c>
    </row>
    <row r="417" spans="1:23" s="79" customFormat="1" ht="25.5" x14ac:dyDescent="0.2">
      <c r="A417" s="1" t="s">
        <v>171</v>
      </c>
      <c r="B417" s="2" t="s">
        <v>48</v>
      </c>
      <c r="C417" s="2" t="s">
        <v>172</v>
      </c>
      <c r="D417" s="2" t="s">
        <v>173</v>
      </c>
      <c r="E417" s="2">
        <v>2022</v>
      </c>
      <c r="F417" s="2" t="s">
        <v>1781</v>
      </c>
      <c r="G417" s="2" t="s">
        <v>3095</v>
      </c>
      <c r="H417" s="2" t="s">
        <v>3092</v>
      </c>
      <c r="I417" s="1" t="s">
        <v>14</v>
      </c>
      <c r="J417" s="1" t="s">
        <v>3599</v>
      </c>
      <c r="K417" s="17"/>
      <c r="L417" s="54">
        <v>0.187</v>
      </c>
      <c r="M417" s="39"/>
      <c r="N417" s="39"/>
      <c r="O417" s="39">
        <v>317.2</v>
      </c>
      <c r="P417" s="39"/>
      <c r="Q417" s="39"/>
      <c r="R417" s="39"/>
      <c r="S417" s="39"/>
      <c r="T417" s="39"/>
      <c r="U417" s="39"/>
      <c r="V417" s="39"/>
      <c r="W417" s="60" t="s">
        <v>1681</v>
      </c>
    </row>
    <row r="418" spans="1:23" s="79" customFormat="1" ht="25.5" x14ac:dyDescent="0.2">
      <c r="A418" s="1" t="s">
        <v>171</v>
      </c>
      <c r="B418" s="2" t="s">
        <v>48</v>
      </c>
      <c r="C418" s="2" t="s">
        <v>172</v>
      </c>
      <c r="D418" s="2" t="s">
        <v>173</v>
      </c>
      <c r="E418" s="2">
        <v>2022</v>
      </c>
      <c r="F418" s="2" t="s">
        <v>1783</v>
      </c>
      <c r="G418" s="2" t="s">
        <v>3095</v>
      </c>
      <c r="H418" s="2" t="s">
        <v>3092</v>
      </c>
      <c r="I418" s="1" t="s">
        <v>14</v>
      </c>
      <c r="J418" s="1" t="s">
        <v>3600</v>
      </c>
      <c r="K418" s="17"/>
      <c r="L418" s="54">
        <v>0.188</v>
      </c>
      <c r="M418" s="39"/>
      <c r="N418" s="39"/>
      <c r="O418" s="39">
        <v>270.64</v>
      </c>
      <c r="P418" s="39"/>
      <c r="Q418" s="39"/>
      <c r="R418" s="39"/>
      <c r="S418" s="39"/>
      <c r="T418" s="39"/>
      <c r="U418" s="39"/>
      <c r="V418" s="39"/>
      <c r="W418" s="60" t="s">
        <v>1681</v>
      </c>
    </row>
    <row r="419" spans="1:23" s="79" customFormat="1" ht="25.5" x14ac:dyDescent="0.2">
      <c r="A419" s="1" t="s">
        <v>171</v>
      </c>
      <c r="B419" s="2" t="s">
        <v>48</v>
      </c>
      <c r="C419" s="2" t="s">
        <v>172</v>
      </c>
      <c r="D419" s="2" t="s">
        <v>173</v>
      </c>
      <c r="E419" s="2">
        <v>2022</v>
      </c>
      <c r="F419" s="2" t="s">
        <v>1785</v>
      </c>
      <c r="G419" s="2" t="s">
        <v>3095</v>
      </c>
      <c r="H419" s="2" t="s">
        <v>3092</v>
      </c>
      <c r="I419" s="1" t="s">
        <v>14</v>
      </c>
      <c r="J419" s="1" t="s">
        <v>3601</v>
      </c>
      <c r="K419" s="17"/>
      <c r="L419" s="54">
        <v>0.18099999999999999</v>
      </c>
      <c r="M419" s="39"/>
      <c r="N419" s="39"/>
      <c r="O419" s="39">
        <v>236.25</v>
      </c>
      <c r="P419" s="39"/>
      <c r="Q419" s="39"/>
      <c r="R419" s="39"/>
      <c r="S419" s="39"/>
      <c r="T419" s="39"/>
      <c r="U419" s="39"/>
      <c r="V419" s="39"/>
      <c r="W419" s="60" t="s">
        <v>1681</v>
      </c>
    </row>
    <row r="420" spans="1:23" s="79" customFormat="1" ht="25.5" x14ac:dyDescent="0.2">
      <c r="A420" s="1" t="s">
        <v>171</v>
      </c>
      <c r="B420" s="2" t="s">
        <v>48</v>
      </c>
      <c r="C420" s="2" t="s">
        <v>172</v>
      </c>
      <c r="D420" s="2" t="s">
        <v>173</v>
      </c>
      <c r="E420" s="2">
        <v>2022</v>
      </c>
      <c r="F420" s="2" t="s">
        <v>1787</v>
      </c>
      <c r="G420" s="2" t="s">
        <v>3095</v>
      </c>
      <c r="H420" s="2" t="s">
        <v>3092</v>
      </c>
      <c r="I420" s="1" t="s">
        <v>14</v>
      </c>
      <c r="J420" s="1" t="s">
        <v>3602</v>
      </c>
      <c r="K420" s="17"/>
      <c r="L420" s="54">
        <v>0.187</v>
      </c>
      <c r="M420" s="39"/>
      <c r="N420" s="39"/>
      <c r="O420" s="39">
        <v>277.005</v>
      </c>
      <c r="P420" s="39"/>
      <c r="Q420" s="39"/>
      <c r="R420" s="39"/>
      <c r="S420" s="39"/>
      <c r="T420" s="39"/>
      <c r="U420" s="39"/>
      <c r="V420" s="39"/>
      <c r="W420" s="60" t="s">
        <v>1681</v>
      </c>
    </row>
    <row r="421" spans="1:23" s="79" customFormat="1" ht="25.5" x14ac:dyDescent="0.2">
      <c r="A421" s="1" t="s">
        <v>171</v>
      </c>
      <c r="B421" s="2" t="s">
        <v>48</v>
      </c>
      <c r="C421" s="2" t="s">
        <v>172</v>
      </c>
      <c r="D421" s="2" t="s">
        <v>173</v>
      </c>
      <c r="E421" s="2">
        <v>2022</v>
      </c>
      <c r="F421" s="2" t="s">
        <v>1789</v>
      </c>
      <c r="G421" s="2" t="s">
        <v>3095</v>
      </c>
      <c r="H421" s="2" t="s">
        <v>3092</v>
      </c>
      <c r="I421" s="1" t="s">
        <v>14</v>
      </c>
      <c r="J421" s="1" t="s">
        <v>3603</v>
      </c>
      <c r="K421" s="17"/>
      <c r="L421" s="54">
        <v>0.19400000000000001</v>
      </c>
      <c r="M421" s="39"/>
      <c r="N421" s="39"/>
      <c r="O421" s="39">
        <v>319</v>
      </c>
      <c r="P421" s="39"/>
      <c r="Q421" s="39"/>
      <c r="R421" s="39"/>
      <c r="S421" s="39"/>
      <c r="T421" s="39"/>
      <c r="U421" s="39"/>
      <c r="V421" s="39"/>
      <c r="W421" s="60" t="s">
        <v>1681</v>
      </c>
    </row>
    <row r="422" spans="1:23" s="79" customFormat="1" ht="25.5" x14ac:dyDescent="0.2">
      <c r="A422" s="1" t="s">
        <v>171</v>
      </c>
      <c r="B422" s="2" t="s">
        <v>48</v>
      </c>
      <c r="C422" s="2" t="s">
        <v>172</v>
      </c>
      <c r="D422" s="2" t="s">
        <v>173</v>
      </c>
      <c r="E422" s="2">
        <v>2022</v>
      </c>
      <c r="F422" s="2" t="s">
        <v>1791</v>
      </c>
      <c r="G422" s="2" t="s">
        <v>3095</v>
      </c>
      <c r="H422" s="2" t="s">
        <v>3092</v>
      </c>
      <c r="I422" s="1" t="s">
        <v>14</v>
      </c>
      <c r="J422" s="1" t="s">
        <v>3604</v>
      </c>
      <c r="K422" s="17"/>
      <c r="L422" s="54">
        <v>0.188</v>
      </c>
      <c r="M422" s="39"/>
      <c r="N422" s="39"/>
      <c r="O422" s="39">
        <v>215.94</v>
      </c>
      <c r="P422" s="39"/>
      <c r="Q422" s="39"/>
      <c r="R422" s="39"/>
      <c r="S422" s="39"/>
      <c r="T422" s="39"/>
      <c r="U422" s="39"/>
      <c r="V422" s="39"/>
      <c r="W422" s="60" t="s">
        <v>1681</v>
      </c>
    </row>
    <row r="423" spans="1:23" s="79" customFormat="1" ht="25.5" x14ac:dyDescent="0.2">
      <c r="A423" s="1" t="s">
        <v>171</v>
      </c>
      <c r="B423" s="2" t="s">
        <v>48</v>
      </c>
      <c r="C423" s="2" t="s">
        <v>172</v>
      </c>
      <c r="D423" s="2" t="s">
        <v>173</v>
      </c>
      <c r="E423" s="2">
        <v>2022</v>
      </c>
      <c r="F423" s="2" t="s">
        <v>311</v>
      </c>
      <c r="G423" s="2" t="s">
        <v>3095</v>
      </c>
      <c r="H423" s="2" t="s">
        <v>3092</v>
      </c>
      <c r="I423" s="1" t="s">
        <v>14</v>
      </c>
      <c r="J423" s="1" t="s">
        <v>3605</v>
      </c>
      <c r="K423" s="17"/>
      <c r="L423" s="54">
        <v>0.17949999999999999</v>
      </c>
      <c r="M423" s="39"/>
      <c r="N423" s="39"/>
      <c r="O423" s="39">
        <v>311.37</v>
      </c>
      <c r="P423" s="39"/>
      <c r="Q423" s="39"/>
      <c r="R423" s="39"/>
      <c r="S423" s="39"/>
      <c r="T423" s="39"/>
      <c r="U423" s="39"/>
      <c r="V423" s="39"/>
      <c r="W423" s="60" t="s">
        <v>1681</v>
      </c>
    </row>
    <row r="424" spans="1:23" s="79" customFormat="1" ht="25.5" x14ac:dyDescent="0.2">
      <c r="A424" s="1" t="s">
        <v>171</v>
      </c>
      <c r="B424" s="2" t="s">
        <v>48</v>
      </c>
      <c r="C424" s="2" t="s">
        <v>172</v>
      </c>
      <c r="D424" s="2" t="s">
        <v>173</v>
      </c>
      <c r="E424" s="2">
        <v>2022</v>
      </c>
      <c r="F424" s="2" t="s">
        <v>1794</v>
      </c>
      <c r="G424" s="2" t="s">
        <v>3095</v>
      </c>
      <c r="H424" s="2" t="s">
        <v>3092</v>
      </c>
      <c r="I424" s="1" t="s">
        <v>14</v>
      </c>
      <c r="J424" s="1" t="s">
        <v>3606</v>
      </c>
      <c r="K424" s="17"/>
      <c r="L424" s="54">
        <v>0.189</v>
      </c>
      <c r="M424" s="39"/>
      <c r="N424" s="39"/>
      <c r="O424" s="39">
        <v>184.72</v>
      </c>
      <c r="P424" s="39"/>
      <c r="Q424" s="39"/>
      <c r="R424" s="39"/>
      <c r="S424" s="39"/>
      <c r="T424" s="39"/>
      <c r="U424" s="39"/>
      <c r="V424" s="39"/>
      <c r="W424" s="60" t="s">
        <v>1681</v>
      </c>
    </row>
    <row r="425" spans="1:23" s="79" customFormat="1" ht="38.25" x14ac:dyDescent="0.2">
      <c r="A425" s="1" t="s">
        <v>171</v>
      </c>
      <c r="B425" s="2" t="s">
        <v>48</v>
      </c>
      <c r="C425" s="2" t="s">
        <v>172</v>
      </c>
      <c r="D425" s="2" t="s">
        <v>173</v>
      </c>
      <c r="E425" s="2">
        <v>2022</v>
      </c>
      <c r="F425" s="2" t="s">
        <v>1796</v>
      </c>
      <c r="G425" s="2" t="s">
        <v>3095</v>
      </c>
      <c r="H425" s="2" t="s">
        <v>3092</v>
      </c>
      <c r="I425" s="1" t="s">
        <v>14</v>
      </c>
      <c r="J425" s="1" t="s">
        <v>3607</v>
      </c>
      <c r="K425" s="17"/>
      <c r="L425" s="54">
        <v>0.18</v>
      </c>
      <c r="M425" s="39"/>
      <c r="N425" s="39"/>
      <c r="O425" s="39">
        <v>225.47</v>
      </c>
      <c r="P425" s="39"/>
      <c r="Q425" s="39"/>
      <c r="R425" s="39"/>
      <c r="S425" s="39"/>
      <c r="T425" s="39"/>
      <c r="U425" s="39"/>
      <c r="V425" s="39"/>
      <c r="W425" s="60" t="s">
        <v>1681</v>
      </c>
    </row>
    <row r="426" spans="1:23" s="79" customFormat="1" ht="25.5" x14ac:dyDescent="0.2">
      <c r="A426" s="1" t="s">
        <v>171</v>
      </c>
      <c r="B426" s="2" t="s">
        <v>48</v>
      </c>
      <c r="C426" s="2" t="s">
        <v>172</v>
      </c>
      <c r="D426" s="2" t="s">
        <v>173</v>
      </c>
      <c r="E426" s="2">
        <v>2022</v>
      </c>
      <c r="F426" s="2" t="s">
        <v>1798</v>
      </c>
      <c r="G426" s="2" t="s">
        <v>3095</v>
      </c>
      <c r="H426" s="2" t="s">
        <v>3092</v>
      </c>
      <c r="I426" s="1" t="s">
        <v>14</v>
      </c>
      <c r="J426" s="1" t="s">
        <v>3608</v>
      </c>
      <c r="K426" s="17"/>
      <c r="L426" s="54">
        <v>0.17799999999999999</v>
      </c>
      <c r="M426" s="39"/>
      <c r="N426" s="39"/>
      <c r="O426" s="39">
        <v>247.91</v>
      </c>
      <c r="P426" s="39"/>
      <c r="Q426" s="39"/>
      <c r="R426" s="39"/>
      <c r="S426" s="39"/>
      <c r="T426" s="39"/>
      <c r="U426" s="39"/>
      <c r="V426" s="39"/>
      <c r="W426" s="60" t="s">
        <v>1681</v>
      </c>
    </row>
    <row r="427" spans="1:23" s="79" customFormat="1" ht="76.5" x14ac:dyDescent="0.2">
      <c r="A427" s="1" t="s">
        <v>420</v>
      </c>
      <c r="B427" s="2" t="s">
        <v>196</v>
      </c>
      <c r="C427" s="2" t="s">
        <v>172</v>
      </c>
      <c r="D427" s="2" t="s">
        <v>173</v>
      </c>
      <c r="E427" s="2">
        <v>2022</v>
      </c>
      <c r="F427" s="2" t="s">
        <v>311</v>
      </c>
      <c r="G427" s="2" t="s">
        <v>3093</v>
      </c>
      <c r="H427" s="2" t="s">
        <v>3092</v>
      </c>
      <c r="I427" s="1" t="s">
        <v>14</v>
      </c>
      <c r="J427" s="1" t="s">
        <v>3609</v>
      </c>
      <c r="K427" s="17"/>
      <c r="L427" s="54">
        <v>0.21</v>
      </c>
      <c r="M427" s="39"/>
      <c r="N427" s="39"/>
      <c r="O427" s="39">
        <v>305.67</v>
      </c>
      <c r="P427" s="39"/>
      <c r="Q427" s="39"/>
      <c r="R427" s="39"/>
      <c r="S427" s="39"/>
      <c r="T427" s="39"/>
      <c r="U427" s="39"/>
      <c r="V427" s="39"/>
      <c r="W427" s="60" t="s">
        <v>1681</v>
      </c>
    </row>
    <row r="428" spans="1:23" s="79" customFormat="1" ht="89.25" x14ac:dyDescent="0.2">
      <c r="A428" s="1" t="s">
        <v>420</v>
      </c>
      <c r="B428" s="2" t="s">
        <v>196</v>
      </c>
      <c r="C428" s="2" t="s">
        <v>172</v>
      </c>
      <c r="D428" s="2" t="s">
        <v>173</v>
      </c>
      <c r="E428" s="2">
        <v>2022</v>
      </c>
      <c r="F428" s="2" t="s">
        <v>1794</v>
      </c>
      <c r="G428" s="2" t="s">
        <v>3092</v>
      </c>
      <c r="H428" s="2" t="s">
        <v>3093</v>
      </c>
      <c r="I428" s="1" t="s">
        <v>3610</v>
      </c>
      <c r="J428" s="1" t="s">
        <v>14</v>
      </c>
      <c r="K428" s="17"/>
      <c r="L428" s="54"/>
      <c r="M428" s="39"/>
      <c r="N428" s="39"/>
      <c r="O428" s="39"/>
      <c r="P428" s="39"/>
      <c r="Q428" s="39"/>
      <c r="R428" s="39"/>
      <c r="S428" s="39"/>
      <c r="T428" s="39"/>
      <c r="U428" s="39"/>
      <c r="V428" s="39"/>
      <c r="W428" s="60" t="s">
        <v>1706</v>
      </c>
    </row>
    <row r="429" spans="1:23" s="79" customFormat="1" ht="63.75" x14ac:dyDescent="0.2">
      <c r="A429" s="1" t="s">
        <v>3611</v>
      </c>
      <c r="B429" s="2" t="s">
        <v>196</v>
      </c>
      <c r="C429" s="2" t="s">
        <v>3612</v>
      </c>
      <c r="D429" s="2" t="s">
        <v>111</v>
      </c>
      <c r="E429" s="2">
        <v>2022</v>
      </c>
      <c r="F429" s="2" t="s">
        <v>311</v>
      </c>
      <c r="G429" s="2" t="s">
        <v>3092</v>
      </c>
      <c r="H429" s="2" t="s">
        <v>3092</v>
      </c>
      <c r="I429" s="1" t="s">
        <v>3613</v>
      </c>
      <c r="J429" s="1" t="s">
        <v>3614</v>
      </c>
      <c r="K429" s="17"/>
      <c r="L429" s="54"/>
      <c r="M429" s="39"/>
      <c r="N429" s="39"/>
      <c r="O429" s="39"/>
      <c r="P429" s="39"/>
      <c r="Q429" s="39"/>
      <c r="R429" s="39"/>
      <c r="S429" s="39"/>
      <c r="T429" s="39"/>
      <c r="U429" s="39"/>
      <c r="V429" s="39"/>
      <c r="W429" s="60" t="s">
        <v>1693</v>
      </c>
    </row>
    <row r="430" spans="1:23" s="79" customFormat="1" ht="178.5" x14ac:dyDescent="0.2">
      <c r="A430" s="1" t="s">
        <v>3611</v>
      </c>
      <c r="B430" s="2" t="s">
        <v>196</v>
      </c>
      <c r="C430" s="2" t="s">
        <v>3612</v>
      </c>
      <c r="D430" s="2" t="s">
        <v>111</v>
      </c>
      <c r="E430" s="2">
        <v>2022</v>
      </c>
      <c r="F430" s="2" t="s">
        <v>1794</v>
      </c>
      <c r="G430" s="2" t="s">
        <v>3092</v>
      </c>
      <c r="H430" s="2" t="s">
        <v>3093</v>
      </c>
      <c r="I430" s="1" t="s">
        <v>3615</v>
      </c>
      <c r="J430" s="1" t="s">
        <v>14</v>
      </c>
      <c r="K430" s="17"/>
      <c r="L430" s="54"/>
      <c r="M430" s="39"/>
      <c r="N430" s="39"/>
      <c r="O430" s="39"/>
      <c r="P430" s="39"/>
      <c r="Q430" s="39"/>
      <c r="R430" s="39"/>
      <c r="S430" s="39"/>
      <c r="T430" s="39"/>
      <c r="U430" s="39"/>
      <c r="V430" s="39"/>
      <c r="W430" s="60" t="s">
        <v>1693</v>
      </c>
    </row>
    <row r="431" spans="1:23" s="79" customFormat="1" ht="51" x14ac:dyDescent="0.2">
      <c r="A431" s="1" t="s">
        <v>113</v>
      </c>
      <c r="B431" s="2" t="s">
        <v>38</v>
      </c>
      <c r="C431" s="2" t="s">
        <v>114</v>
      </c>
      <c r="D431" s="2" t="s">
        <v>115</v>
      </c>
      <c r="E431" s="2">
        <v>2022</v>
      </c>
      <c r="F431" s="2" t="s">
        <v>1776</v>
      </c>
      <c r="G431" s="2" t="s">
        <v>3095</v>
      </c>
      <c r="H431" s="2" t="s">
        <v>3092</v>
      </c>
      <c r="I431" s="1" t="s">
        <v>14</v>
      </c>
      <c r="J431" s="1" t="s">
        <v>3616</v>
      </c>
      <c r="K431" s="17"/>
      <c r="L431" s="54">
        <v>0.17319999999999999</v>
      </c>
      <c r="M431" s="39"/>
      <c r="N431" s="39"/>
      <c r="O431" s="39">
        <v>100.2</v>
      </c>
      <c r="P431" s="39"/>
      <c r="Q431" s="39"/>
      <c r="R431" s="39"/>
      <c r="S431" s="39"/>
      <c r="T431" s="39"/>
      <c r="U431" s="39"/>
      <c r="V431" s="39"/>
      <c r="W431" s="60"/>
    </row>
    <row r="432" spans="1:23" s="79" customFormat="1" ht="51" x14ac:dyDescent="0.2">
      <c r="A432" s="1" t="s">
        <v>113</v>
      </c>
      <c r="B432" s="2" t="s">
        <v>38</v>
      </c>
      <c r="C432" s="2" t="s">
        <v>114</v>
      </c>
      <c r="D432" s="2" t="s">
        <v>115</v>
      </c>
      <c r="E432" s="2">
        <v>2022</v>
      </c>
      <c r="F432" s="2" t="s">
        <v>1779</v>
      </c>
      <c r="G432" s="2" t="s">
        <v>3095</v>
      </c>
      <c r="H432" s="2" t="s">
        <v>3092</v>
      </c>
      <c r="I432" s="1" t="s">
        <v>14</v>
      </c>
      <c r="J432" s="1" t="s">
        <v>3617</v>
      </c>
      <c r="K432" s="17"/>
      <c r="L432" s="54">
        <v>0.16600000000000001</v>
      </c>
      <c r="M432" s="39"/>
      <c r="N432" s="39"/>
      <c r="O432" s="39">
        <v>91.27</v>
      </c>
      <c r="P432" s="39"/>
      <c r="Q432" s="39"/>
      <c r="R432" s="39"/>
      <c r="S432" s="39"/>
      <c r="T432" s="39"/>
      <c r="U432" s="39"/>
      <c r="V432" s="39"/>
      <c r="W432" s="60"/>
    </row>
    <row r="433" spans="1:23" s="79" customFormat="1" ht="51" x14ac:dyDescent="0.2">
      <c r="A433" s="1" t="s">
        <v>113</v>
      </c>
      <c r="B433" s="2" t="s">
        <v>38</v>
      </c>
      <c r="C433" s="2" t="s">
        <v>114</v>
      </c>
      <c r="D433" s="2" t="s">
        <v>115</v>
      </c>
      <c r="E433" s="2">
        <v>2022</v>
      </c>
      <c r="F433" s="2" t="s">
        <v>1781</v>
      </c>
      <c r="G433" s="2" t="s">
        <v>3095</v>
      </c>
      <c r="H433" s="2" t="s">
        <v>3092</v>
      </c>
      <c r="I433" s="1" t="s">
        <v>14</v>
      </c>
      <c r="J433" s="1" t="s">
        <v>3618</v>
      </c>
      <c r="K433" s="17"/>
      <c r="L433" s="54">
        <v>0.16900000000000001</v>
      </c>
      <c r="M433" s="39"/>
      <c r="N433" s="39"/>
      <c r="O433" s="39">
        <v>114.93</v>
      </c>
      <c r="P433" s="39"/>
      <c r="Q433" s="39"/>
      <c r="R433" s="39"/>
      <c r="S433" s="39"/>
      <c r="T433" s="39"/>
      <c r="U433" s="39"/>
      <c r="V433" s="39"/>
      <c r="W433" s="60"/>
    </row>
    <row r="434" spans="1:23" s="79" customFormat="1" ht="63.75" x14ac:dyDescent="0.2">
      <c r="A434" s="1" t="s">
        <v>113</v>
      </c>
      <c r="B434" s="2" t="s">
        <v>38</v>
      </c>
      <c r="C434" s="2" t="s">
        <v>114</v>
      </c>
      <c r="D434" s="2" t="s">
        <v>115</v>
      </c>
      <c r="E434" s="2">
        <v>2022</v>
      </c>
      <c r="F434" s="2" t="s">
        <v>1783</v>
      </c>
      <c r="G434" s="2" t="s">
        <v>3095</v>
      </c>
      <c r="H434" s="2" t="s">
        <v>3092</v>
      </c>
      <c r="I434" s="1" t="s">
        <v>14</v>
      </c>
      <c r="J434" s="1" t="s">
        <v>3619</v>
      </c>
      <c r="K434" s="17"/>
      <c r="L434" s="54">
        <v>0.17399999999999999</v>
      </c>
      <c r="M434" s="15"/>
      <c r="N434" s="15"/>
      <c r="O434" s="15">
        <f>42.65+10.61+29.68</f>
        <v>82.94</v>
      </c>
      <c r="P434" s="15"/>
      <c r="Q434" s="15"/>
      <c r="R434" s="15"/>
      <c r="S434" s="15"/>
      <c r="T434" s="15"/>
      <c r="U434" s="15"/>
      <c r="V434" s="15"/>
      <c r="W434" s="60"/>
    </row>
    <row r="435" spans="1:23" s="79" customFormat="1" ht="38.25" x14ac:dyDescent="0.2">
      <c r="A435" s="1" t="s">
        <v>113</v>
      </c>
      <c r="B435" s="2" t="s">
        <v>38</v>
      </c>
      <c r="C435" s="2" t="s">
        <v>114</v>
      </c>
      <c r="D435" s="2" t="s">
        <v>115</v>
      </c>
      <c r="E435" s="2">
        <v>2022</v>
      </c>
      <c r="F435" s="2" t="s">
        <v>1785</v>
      </c>
      <c r="G435" s="2" t="s">
        <v>3095</v>
      </c>
      <c r="H435" s="2" t="s">
        <v>3092</v>
      </c>
      <c r="I435" s="1" t="s">
        <v>14</v>
      </c>
      <c r="J435" s="1" t="s">
        <v>3620</v>
      </c>
      <c r="K435" s="17"/>
      <c r="L435" s="54">
        <v>0.1701</v>
      </c>
      <c r="M435" s="39"/>
      <c r="N435" s="39"/>
      <c r="O435" s="39">
        <v>114.16</v>
      </c>
      <c r="P435" s="39"/>
      <c r="Q435" s="39"/>
      <c r="R435" s="39"/>
      <c r="S435" s="39"/>
      <c r="T435" s="39"/>
      <c r="U435" s="39"/>
      <c r="V435" s="39"/>
      <c r="W435" s="60"/>
    </row>
    <row r="436" spans="1:23" s="79" customFormat="1" ht="51" x14ac:dyDescent="0.2">
      <c r="A436" s="1" t="s">
        <v>113</v>
      </c>
      <c r="B436" s="2" t="s">
        <v>38</v>
      </c>
      <c r="C436" s="2" t="s">
        <v>114</v>
      </c>
      <c r="D436" s="2" t="s">
        <v>115</v>
      </c>
      <c r="E436" s="2">
        <v>2022</v>
      </c>
      <c r="F436" s="2" t="s">
        <v>1787</v>
      </c>
      <c r="G436" s="2" t="s">
        <v>3095</v>
      </c>
      <c r="H436" s="2" t="s">
        <v>3092</v>
      </c>
      <c r="I436" s="1" t="s">
        <v>14</v>
      </c>
      <c r="J436" s="1" t="s">
        <v>3621</v>
      </c>
      <c r="K436" s="17"/>
      <c r="L436" s="54">
        <v>0.17899999999999999</v>
      </c>
      <c r="M436" s="39"/>
      <c r="N436" s="39"/>
      <c r="O436" s="39">
        <v>108.78</v>
      </c>
      <c r="P436" s="39"/>
      <c r="Q436" s="39"/>
      <c r="R436" s="39"/>
      <c r="S436" s="39"/>
      <c r="T436" s="39"/>
      <c r="U436" s="39"/>
      <c r="V436" s="39"/>
      <c r="W436" s="60"/>
    </row>
    <row r="437" spans="1:23" s="79" customFormat="1" ht="38.25" x14ac:dyDescent="0.2">
      <c r="A437" s="1" t="s">
        <v>113</v>
      </c>
      <c r="B437" s="2" t="s">
        <v>38</v>
      </c>
      <c r="C437" s="2" t="s">
        <v>114</v>
      </c>
      <c r="D437" s="2" t="s">
        <v>115</v>
      </c>
      <c r="E437" s="2">
        <v>2022</v>
      </c>
      <c r="F437" s="2" t="s">
        <v>1789</v>
      </c>
      <c r="G437" s="2" t="s">
        <v>3095</v>
      </c>
      <c r="H437" s="2" t="s">
        <v>3092</v>
      </c>
      <c r="I437" s="1" t="s">
        <v>14</v>
      </c>
      <c r="J437" s="1" t="s">
        <v>3622</v>
      </c>
      <c r="K437" s="17"/>
      <c r="L437" s="54">
        <v>0.17549999999999999</v>
      </c>
      <c r="M437" s="39"/>
      <c r="N437" s="39"/>
      <c r="O437" s="15">
        <v>84.32</v>
      </c>
      <c r="P437" s="39"/>
      <c r="Q437" s="39"/>
      <c r="R437" s="39"/>
      <c r="S437" s="39"/>
      <c r="T437" s="39"/>
      <c r="U437" s="39"/>
      <c r="V437" s="39"/>
      <c r="W437" s="60"/>
    </row>
    <row r="438" spans="1:23" s="79" customFormat="1" ht="51" x14ac:dyDescent="0.2">
      <c r="A438" s="1" t="s">
        <v>113</v>
      </c>
      <c r="B438" s="2" t="s">
        <v>38</v>
      </c>
      <c r="C438" s="2" t="s">
        <v>114</v>
      </c>
      <c r="D438" s="2" t="s">
        <v>115</v>
      </c>
      <c r="E438" s="2">
        <v>2022</v>
      </c>
      <c r="F438" s="2" t="s">
        <v>1791</v>
      </c>
      <c r="G438" s="2" t="s">
        <v>3095</v>
      </c>
      <c r="H438" s="2" t="s">
        <v>3092</v>
      </c>
      <c r="I438" s="1" t="s">
        <v>14</v>
      </c>
      <c r="J438" s="1" t="s">
        <v>3623</v>
      </c>
      <c r="K438" s="17"/>
      <c r="L438" s="54">
        <v>0.16500000000000001</v>
      </c>
      <c r="M438" s="39"/>
      <c r="N438" s="39"/>
      <c r="O438" s="39">
        <v>124.28</v>
      </c>
      <c r="P438" s="39"/>
      <c r="Q438" s="39"/>
      <c r="R438" s="39"/>
      <c r="S438" s="39"/>
      <c r="T438" s="39"/>
      <c r="U438" s="39"/>
      <c r="V438" s="39"/>
      <c r="W438" s="60"/>
    </row>
    <row r="439" spans="1:23" s="79" customFormat="1" ht="51" x14ac:dyDescent="0.2">
      <c r="A439" s="1" t="s">
        <v>113</v>
      </c>
      <c r="B439" s="2" t="s">
        <v>38</v>
      </c>
      <c r="C439" s="2" t="s">
        <v>114</v>
      </c>
      <c r="D439" s="2" t="s">
        <v>115</v>
      </c>
      <c r="E439" s="2">
        <v>2022</v>
      </c>
      <c r="F439" s="2" t="s">
        <v>311</v>
      </c>
      <c r="G439" s="2" t="s">
        <v>3095</v>
      </c>
      <c r="H439" s="2" t="s">
        <v>3092</v>
      </c>
      <c r="I439" s="1" t="s">
        <v>14</v>
      </c>
      <c r="J439" s="1" t="s">
        <v>3624</v>
      </c>
      <c r="K439" s="17"/>
      <c r="L439" s="54">
        <v>0.18099999999999999</v>
      </c>
      <c r="M439" s="3"/>
      <c r="N439" s="39"/>
      <c r="O439" s="39">
        <v>79.010000000000005</v>
      </c>
      <c r="P439" s="39"/>
      <c r="Q439" s="39"/>
      <c r="R439" s="39"/>
      <c r="S439" s="39"/>
      <c r="T439" s="39"/>
      <c r="U439" s="39"/>
      <c r="V439" s="39"/>
      <c r="W439" s="60"/>
    </row>
    <row r="440" spans="1:23" s="79" customFormat="1" ht="51" x14ac:dyDescent="0.2">
      <c r="A440" s="1" t="s">
        <v>113</v>
      </c>
      <c r="B440" s="2" t="s">
        <v>38</v>
      </c>
      <c r="C440" s="2" t="s">
        <v>114</v>
      </c>
      <c r="D440" s="2" t="s">
        <v>115</v>
      </c>
      <c r="E440" s="2">
        <v>2022</v>
      </c>
      <c r="F440" s="2" t="s">
        <v>1794</v>
      </c>
      <c r="G440" s="2" t="s">
        <v>3095</v>
      </c>
      <c r="H440" s="2" t="s">
        <v>3092</v>
      </c>
      <c r="I440" s="1" t="s">
        <v>14</v>
      </c>
      <c r="J440" s="1" t="s">
        <v>3625</v>
      </c>
      <c r="K440" s="17"/>
      <c r="L440" s="54">
        <v>0.17499999999999999</v>
      </c>
      <c r="M440" s="39"/>
      <c r="N440" s="39"/>
      <c r="O440" s="39">
        <v>78.430000000000007</v>
      </c>
      <c r="P440" s="39"/>
      <c r="Q440" s="39"/>
      <c r="R440" s="39"/>
      <c r="S440" s="39"/>
      <c r="T440" s="39"/>
      <c r="U440" s="39"/>
      <c r="V440" s="39"/>
      <c r="W440" s="60"/>
    </row>
    <row r="441" spans="1:23" s="79" customFormat="1" ht="51" x14ac:dyDescent="0.2">
      <c r="A441" s="1" t="s">
        <v>113</v>
      </c>
      <c r="B441" s="2" t="s">
        <v>38</v>
      </c>
      <c r="C441" s="2" t="s">
        <v>114</v>
      </c>
      <c r="D441" s="2" t="s">
        <v>115</v>
      </c>
      <c r="E441" s="2">
        <v>2022</v>
      </c>
      <c r="F441" s="2" t="s">
        <v>1796</v>
      </c>
      <c r="G441" s="2" t="s">
        <v>3095</v>
      </c>
      <c r="H441" s="2" t="s">
        <v>3092</v>
      </c>
      <c r="I441" s="1" t="s">
        <v>14</v>
      </c>
      <c r="J441" s="1" t="s">
        <v>3626</v>
      </c>
      <c r="K441" s="17"/>
      <c r="L441" s="54">
        <v>0.17299999999999999</v>
      </c>
      <c r="M441" s="39"/>
      <c r="N441" s="39"/>
      <c r="O441" s="39">
        <v>112.03</v>
      </c>
      <c r="P441" s="39"/>
      <c r="Q441" s="39"/>
      <c r="R441" s="39"/>
      <c r="S441" s="39"/>
      <c r="T441" s="39"/>
      <c r="U441" s="39"/>
      <c r="V441" s="39"/>
      <c r="W441" s="60"/>
    </row>
    <row r="442" spans="1:23" s="79" customFormat="1" ht="63.75" x14ac:dyDescent="0.2">
      <c r="A442" s="1" t="s">
        <v>113</v>
      </c>
      <c r="B442" s="2" t="s">
        <v>38</v>
      </c>
      <c r="C442" s="2" t="s">
        <v>114</v>
      </c>
      <c r="D442" s="2" t="s">
        <v>115</v>
      </c>
      <c r="E442" s="2">
        <v>2022</v>
      </c>
      <c r="F442" s="2" t="s">
        <v>1798</v>
      </c>
      <c r="G442" s="2" t="s">
        <v>3095</v>
      </c>
      <c r="H442" s="2" t="s">
        <v>3092</v>
      </c>
      <c r="I442" s="1" t="s">
        <v>14</v>
      </c>
      <c r="J442" s="1" t="s">
        <v>3627</v>
      </c>
      <c r="K442" s="17"/>
      <c r="L442" s="54">
        <v>0.17960000000000001</v>
      </c>
      <c r="M442" s="39"/>
      <c r="N442" s="39"/>
      <c r="O442" s="39">
        <v>97.09</v>
      </c>
      <c r="P442" s="39"/>
      <c r="Q442" s="39"/>
      <c r="R442" s="39"/>
      <c r="S442" s="39"/>
      <c r="T442" s="39"/>
      <c r="U442" s="39"/>
      <c r="V442" s="39"/>
      <c r="W442" s="60"/>
    </row>
    <row r="443" spans="1:23" s="79" customFormat="1" ht="63.75" x14ac:dyDescent="0.2">
      <c r="A443" s="1" t="s">
        <v>3628</v>
      </c>
      <c r="B443" s="2" t="s">
        <v>196</v>
      </c>
      <c r="C443" s="2" t="s">
        <v>136</v>
      </c>
      <c r="D443" s="2" t="s">
        <v>136</v>
      </c>
      <c r="E443" s="2">
        <v>2022</v>
      </c>
      <c r="F443" s="2" t="s">
        <v>1794</v>
      </c>
      <c r="G443" s="2" t="s">
        <v>3092</v>
      </c>
      <c r="H443" s="2" t="s">
        <v>3092</v>
      </c>
      <c r="I443" s="1" t="s">
        <v>3629</v>
      </c>
      <c r="J443" s="1" t="s">
        <v>3630</v>
      </c>
      <c r="K443" s="17"/>
      <c r="L443" s="54">
        <v>0.25</v>
      </c>
      <c r="M443" s="39"/>
      <c r="N443" s="39"/>
      <c r="O443" s="39">
        <f>(89.32/0.257)+(23.48/0.237)</f>
        <v>446.62036809010164</v>
      </c>
      <c r="P443" s="39"/>
      <c r="Q443" s="39"/>
      <c r="R443" s="39"/>
      <c r="S443" s="39"/>
      <c r="T443" s="39"/>
      <c r="U443" s="39"/>
      <c r="V443" s="39"/>
      <c r="W443" s="60"/>
    </row>
    <row r="444" spans="1:23" s="79" customFormat="1" ht="25.5" x14ac:dyDescent="0.2">
      <c r="A444" s="1" t="s">
        <v>135</v>
      </c>
      <c r="B444" s="2" t="s">
        <v>38</v>
      </c>
      <c r="C444" s="2" t="s">
        <v>136</v>
      </c>
      <c r="D444" s="2" t="s">
        <v>136</v>
      </c>
      <c r="E444" s="2">
        <v>2022</v>
      </c>
      <c r="F444" s="2" t="s">
        <v>1776</v>
      </c>
      <c r="G444" s="2" t="s">
        <v>3095</v>
      </c>
      <c r="H444" s="2" t="s">
        <v>3092</v>
      </c>
      <c r="I444" s="1" t="s">
        <v>14</v>
      </c>
      <c r="J444" s="1" t="s">
        <v>3631</v>
      </c>
      <c r="K444" s="17"/>
      <c r="L444" s="54">
        <v>0.22500000000000001</v>
      </c>
      <c r="M444" s="39"/>
      <c r="N444" s="39"/>
      <c r="O444" s="39">
        <v>333.4</v>
      </c>
      <c r="P444" s="39"/>
      <c r="Q444" s="39"/>
      <c r="R444" s="39"/>
      <c r="S444" s="39"/>
      <c r="T444" s="39"/>
      <c r="U444" s="39"/>
      <c r="V444" s="39"/>
      <c r="W444" s="60" t="s">
        <v>1681</v>
      </c>
    </row>
    <row r="445" spans="1:23" s="79" customFormat="1" ht="25.5" x14ac:dyDescent="0.2">
      <c r="A445" s="1" t="s">
        <v>135</v>
      </c>
      <c r="B445" s="2" t="s">
        <v>38</v>
      </c>
      <c r="C445" s="2" t="s">
        <v>136</v>
      </c>
      <c r="D445" s="2" t="s">
        <v>136</v>
      </c>
      <c r="E445" s="2">
        <v>2022</v>
      </c>
      <c r="F445" s="2" t="s">
        <v>1779</v>
      </c>
      <c r="G445" s="2" t="s">
        <v>3095</v>
      </c>
      <c r="H445" s="2" t="s">
        <v>3092</v>
      </c>
      <c r="I445" s="1" t="s">
        <v>14</v>
      </c>
      <c r="J445" s="1" t="s">
        <v>3632</v>
      </c>
      <c r="K445" s="17"/>
      <c r="L445" s="54">
        <v>0.20300000000000001</v>
      </c>
      <c r="M445" s="39"/>
      <c r="N445" s="39"/>
      <c r="O445" s="39">
        <v>419</v>
      </c>
      <c r="P445" s="39"/>
      <c r="Q445" s="39"/>
      <c r="R445" s="39"/>
      <c r="S445" s="39"/>
      <c r="T445" s="39"/>
      <c r="U445" s="39"/>
      <c r="V445" s="39"/>
      <c r="W445" s="60" t="s">
        <v>1681</v>
      </c>
    </row>
    <row r="446" spans="1:23" s="79" customFormat="1" ht="25.5" x14ac:dyDescent="0.2">
      <c r="A446" s="1" t="s">
        <v>135</v>
      </c>
      <c r="B446" s="2" t="s">
        <v>38</v>
      </c>
      <c r="C446" s="2" t="s">
        <v>136</v>
      </c>
      <c r="D446" s="2" t="s">
        <v>136</v>
      </c>
      <c r="E446" s="2">
        <v>2022</v>
      </c>
      <c r="F446" s="2" t="s">
        <v>1781</v>
      </c>
      <c r="G446" s="2" t="s">
        <v>3095</v>
      </c>
      <c r="H446" s="2" t="s">
        <v>3092</v>
      </c>
      <c r="I446" s="1" t="s">
        <v>14</v>
      </c>
      <c r="J446" s="1" t="s">
        <v>3633</v>
      </c>
      <c r="K446" s="17"/>
      <c r="L446" s="54">
        <v>0.215</v>
      </c>
      <c r="M446" s="39"/>
      <c r="N446" s="39"/>
      <c r="O446" s="39">
        <v>440</v>
      </c>
      <c r="P446" s="39"/>
      <c r="Q446" s="39"/>
      <c r="R446" s="39"/>
      <c r="S446" s="39"/>
      <c r="T446" s="39"/>
      <c r="U446" s="39"/>
      <c r="V446" s="39"/>
      <c r="W446" s="60" t="s">
        <v>1681</v>
      </c>
    </row>
    <row r="447" spans="1:23" s="79" customFormat="1" ht="25.5" x14ac:dyDescent="0.2">
      <c r="A447" s="1" t="s">
        <v>135</v>
      </c>
      <c r="B447" s="2" t="s">
        <v>38</v>
      </c>
      <c r="C447" s="2" t="s">
        <v>136</v>
      </c>
      <c r="D447" s="2" t="s">
        <v>136</v>
      </c>
      <c r="E447" s="2">
        <v>2022</v>
      </c>
      <c r="F447" s="2" t="s">
        <v>1783</v>
      </c>
      <c r="G447" s="2" t="s">
        <v>3095</v>
      </c>
      <c r="H447" s="2" t="s">
        <v>3092</v>
      </c>
      <c r="I447" s="1" t="s">
        <v>14</v>
      </c>
      <c r="J447" s="1" t="s">
        <v>3634</v>
      </c>
      <c r="K447" s="17"/>
      <c r="L447" s="54">
        <v>0.22500000000000001</v>
      </c>
      <c r="M447" s="39"/>
      <c r="N447" s="39"/>
      <c r="O447" s="39">
        <v>458.7</v>
      </c>
      <c r="P447" s="39"/>
      <c r="Q447" s="39"/>
      <c r="R447" s="39"/>
      <c r="S447" s="39"/>
      <c r="T447" s="39"/>
      <c r="U447" s="39"/>
      <c r="V447" s="39"/>
      <c r="W447" s="60" t="s">
        <v>1681</v>
      </c>
    </row>
    <row r="448" spans="1:23" s="79" customFormat="1" ht="25.5" x14ac:dyDescent="0.2">
      <c r="A448" s="1" t="s">
        <v>135</v>
      </c>
      <c r="B448" s="2" t="s">
        <v>38</v>
      </c>
      <c r="C448" s="2" t="s">
        <v>136</v>
      </c>
      <c r="D448" s="2" t="s">
        <v>136</v>
      </c>
      <c r="E448" s="2">
        <v>2022</v>
      </c>
      <c r="F448" s="2" t="s">
        <v>1785</v>
      </c>
      <c r="G448" s="2" t="s">
        <v>3095</v>
      </c>
      <c r="H448" s="2" t="s">
        <v>3092</v>
      </c>
      <c r="I448" s="1" t="s">
        <v>14</v>
      </c>
      <c r="J448" s="1" t="s">
        <v>3635</v>
      </c>
      <c r="K448" s="17"/>
      <c r="L448" s="54">
        <v>0.23200000000000001</v>
      </c>
      <c r="M448" s="39"/>
      <c r="N448" s="39"/>
      <c r="O448" s="39">
        <v>599</v>
      </c>
      <c r="P448" s="39"/>
      <c r="Q448" s="39"/>
      <c r="R448" s="39"/>
      <c r="S448" s="39"/>
      <c r="T448" s="39"/>
      <c r="U448" s="39"/>
      <c r="V448" s="39"/>
      <c r="W448" s="60" t="s">
        <v>1681</v>
      </c>
    </row>
    <row r="449" spans="1:23" s="79" customFormat="1" ht="25.5" x14ac:dyDescent="0.2">
      <c r="A449" s="1" t="s">
        <v>135</v>
      </c>
      <c r="B449" s="2" t="s">
        <v>38</v>
      </c>
      <c r="C449" s="2" t="s">
        <v>136</v>
      </c>
      <c r="D449" s="2" t="s">
        <v>136</v>
      </c>
      <c r="E449" s="2">
        <v>2022</v>
      </c>
      <c r="F449" s="2" t="s">
        <v>1787</v>
      </c>
      <c r="G449" s="2" t="s">
        <v>3095</v>
      </c>
      <c r="H449" s="2" t="s">
        <v>3092</v>
      </c>
      <c r="I449" s="1" t="s">
        <v>14</v>
      </c>
      <c r="J449" s="1" t="s">
        <v>3636</v>
      </c>
      <c r="K449" s="17"/>
      <c r="L449" s="54">
        <v>0.22900000000000001</v>
      </c>
      <c r="M449" s="39"/>
      <c r="N449" s="39"/>
      <c r="O449" s="39">
        <v>599</v>
      </c>
      <c r="P449" s="39"/>
      <c r="Q449" s="39"/>
      <c r="R449" s="39"/>
      <c r="S449" s="39"/>
      <c r="T449" s="39"/>
      <c r="U449" s="39"/>
      <c r="V449" s="39"/>
      <c r="W449" s="60" t="s">
        <v>1681</v>
      </c>
    </row>
    <row r="450" spans="1:23" s="79" customFormat="1" ht="25.5" x14ac:dyDescent="0.2">
      <c r="A450" s="1" t="s">
        <v>135</v>
      </c>
      <c r="B450" s="2" t="s">
        <v>38</v>
      </c>
      <c r="C450" s="2" t="s">
        <v>136</v>
      </c>
      <c r="D450" s="2" t="s">
        <v>136</v>
      </c>
      <c r="E450" s="2">
        <v>2022</v>
      </c>
      <c r="F450" s="2" t="s">
        <v>1789</v>
      </c>
      <c r="G450" s="2" t="s">
        <v>3095</v>
      </c>
      <c r="H450" s="2" t="s">
        <v>3092</v>
      </c>
      <c r="I450" s="1" t="s">
        <v>14</v>
      </c>
      <c r="J450" s="1" t="s">
        <v>3637</v>
      </c>
      <c r="K450" s="17"/>
      <c r="L450" s="54">
        <v>0.246</v>
      </c>
      <c r="M450" s="39"/>
      <c r="N450" s="39"/>
      <c r="O450" s="39">
        <v>649.70000000000005</v>
      </c>
      <c r="P450" s="39"/>
      <c r="Q450" s="39"/>
      <c r="R450" s="39"/>
      <c r="S450" s="39"/>
      <c r="T450" s="39"/>
      <c r="U450" s="39"/>
      <c r="V450" s="39"/>
      <c r="W450" s="60" t="s">
        <v>1681</v>
      </c>
    </row>
    <row r="451" spans="1:23" s="79" customFormat="1" ht="25.5" x14ac:dyDescent="0.2">
      <c r="A451" s="1" t="s">
        <v>135</v>
      </c>
      <c r="B451" s="2" t="s">
        <v>38</v>
      </c>
      <c r="C451" s="2" t="s">
        <v>136</v>
      </c>
      <c r="D451" s="2" t="s">
        <v>136</v>
      </c>
      <c r="E451" s="2">
        <v>2022</v>
      </c>
      <c r="F451" s="2" t="s">
        <v>1791</v>
      </c>
      <c r="G451" s="2" t="s">
        <v>3095</v>
      </c>
      <c r="H451" s="2" t="s">
        <v>3092</v>
      </c>
      <c r="I451" s="1" t="s">
        <v>14</v>
      </c>
      <c r="J451" s="1" t="s">
        <v>3638</v>
      </c>
      <c r="K451" s="17"/>
      <c r="L451" s="54">
        <v>0.255</v>
      </c>
      <c r="M451" s="39"/>
      <c r="N451" s="39"/>
      <c r="O451" s="39">
        <v>590.26</v>
      </c>
      <c r="P451" s="39"/>
      <c r="Q451" s="39"/>
      <c r="R451" s="39"/>
      <c r="S451" s="39"/>
      <c r="T451" s="39"/>
      <c r="U451" s="39"/>
      <c r="V451" s="39"/>
      <c r="W451" s="60" t="s">
        <v>1681</v>
      </c>
    </row>
    <row r="452" spans="1:23" s="79" customFormat="1" ht="25.5" x14ac:dyDescent="0.2">
      <c r="A452" s="1" t="s">
        <v>135</v>
      </c>
      <c r="B452" s="2" t="s">
        <v>38</v>
      </c>
      <c r="C452" s="2" t="s">
        <v>136</v>
      </c>
      <c r="D452" s="2" t="s">
        <v>136</v>
      </c>
      <c r="E452" s="2">
        <v>2022</v>
      </c>
      <c r="F452" s="2" t="s">
        <v>311</v>
      </c>
      <c r="G452" s="2" t="s">
        <v>3095</v>
      </c>
      <c r="H452" s="2" t="s">
        <v>3092</v>
      </c>
      <c r="I452" s="1" t="s">
        <v>14</v>
      </c>
      <c r="J452" s="1" t="s">
        <v>3639</v>
      </c>
      <c r="K452" s="17"/>
      <c r="L452" s="54">
        <v>0.26700000000000002</v>
      </c>
      <c r="M452" s="39"/>
      <c r="N452" s="39"/>
      <c r="O452" s="39">
        <v>642.44600000000003</v>
      </c>
      <c r="P452" s="39"/>
      <c r="Q452" s="39"/>
      <c r="R452" s="39"/>
      <c r="S452" s="39"/>
      <c r="T452" s="39"/>
      <c r="U452" s="39"/>
      <c r="V452" s="39"/>
      <c r="W452" s="60" t="s">
        <v>1681</v>
      </c>
    </row>
    <row r="453" spans="1:23" s="79" customFormat="1" ht="25.5" x14ac:dyDescent="0.2">
      <c r="A453" s="1" t="s">
        <v>135</v>
      </c>
      <c r="B453" s="2" t="s">
        <v>38</v>
      </c>
      <c r="C453" s="2" t="s">
        <v>136</v>
      </c>
      <c r="D453" s="2" t="s">
        <v>136</v>
      </c>
      <c r="E453" s="2">
        <v>2022</v>
      </c>
      <c r="F453" s="2" t="s">
        <v>1794</v>
      </c>
      <c r="G453" s="2" t="s">
        <v>3095</v>
      </c>
      <c r="H453" s="2" t="s">
        <v>3092</v>
      </c>
      <c r="I453" s="1" t="s">
        <v>14</v>
      </c>
      <c r="J453" s="1" t="s">
        <v>3640</v>
      </c>
      <c r="K453" s="17"/>
      <c r="L453" s="54">
        <v>0.27700000000000002</v>
      </c>
      <c r="M453" s="39"/>
      <c r="N453" s="39"/>
      <c r="O453" s="39">
        <v>680.90899999999999</v>
      </c>
      <c r="P453" s="39"/>
      <c r="Q453" s="39"/>
      <c r="R453" s="39"/>
      <c r="S453" s="39"/>
      <c r="T453" s="39"/>
      <c r="U453" s="39"/>
      <c r="V453" s="39"/>
      <c r="W453" s="60" t="s">
        <v>1681</v>
      </c>
    </row>
    <row r="454" spans="1:23" s="79" customFormat="1" ht="25.5" x14ac:dyDescent="0.2">
      <c r="A454" s="1" t="s">
        <v>135</v>
      </c>
      <c r="B454" s="2" t="s">
        <v>38</v>
      </c>
      <c r="C454" s="2" t="s">
        <v>136</v>
      </c>
      <c r="D454" s="2" t="s">
        <v>136</v>
      </c>
      <c r="E454" s="2">
        <v>2022</v>
      </c>
      <c r="F454" s="2" t="s">
        <v>1796</v>
      </c>
      <c r="G454" s="2" t="s">
        <v>3095</v>
      </c>
      <c r="H454" s="2" t="s">
        <v>3092</v>
      </c>
      <c r="I454" s="1" t="s">
        <v>14</v>
      </c>
      <c r="J454" s="1" t="s">
        <v>3641</v>
      </c>
      <c r="K454" s="17"/>
      <c r="L454" s="54">
        <v>0.26600000000000001</v>
      </c>
      <c r="M454" s="39"/>
      <c r="N454" s="39"/>
      <c r="O454" s="39">
        <v>611.72299999999996</v>
      </c>
      <c r="P454" s="39"/>
      <c r="Q454" s="39"/>
      <c r="R454" s="39"/>
      <c r="S454" s="39"/>
      <c r="T454" s="39"/>
      <c r="U454" s="39"/>
      <c r="V454" s="39"/>
      <c r="W454" s="60" t="s">
        <v>1681</v>
      </c>
    </row>
    <row r="455" spans="1:23" s="79" customFormat="1" ht="25.5" x14ac:dyDescent="0.2">
      <c r="A455" s="1" t="s">
        <v>135</v>
      </c>
      <c r="B455" s="2" t="s">
        <v>38</v>
      </c>
      <c r="C455" s="2" t="s">
        <v>136</v>
      </c>
      <c r="D455" s="2" t="s">
        <v>136</v>
      </c>
      <c r="E455" s="2">
        <v>2022</v>
      </c>
      <c r="F455" s="2" t="s">
        <v>1798</v>
      </c>
      <c r="G455" s="2" t="s">
        <v>3095</v>
      </c>
      <c r="H455" s="2" t="s">
        <v>3092</v>
      </c>
      <c r="I455" s="1" t="s">
        <v>14</v>
      </c>
      <c r="J455" s="1" t="s">
        <v>3642</v>
      </c>
      <c r="K455" s="17"/>
      <c r="L455" s="54">
        <v>0.23899999999999999</v>
      </c>
      <c r="M455" s="39"/>
      <c r="N455" s="39"/>
      <c r="O455" s="39">
        <v>490.904</v>
      </c>
      <c r="P455" s="39"/>
      <c r="Q455" s="39"/>
      <c r="R455" s="39"/>
      <c r="S455" s="39"/>
      <c r="T455" s="39"/>
      <c r="U455" s="39"/>
      <c r="V455" s="39"/>
      <c r="W455" s="60" t="s">
        <v>1681</v>
      </c>
    </row>
    <row r="456" spans="1:23" s="79" customFormat="1" ht="25.5" x14ac:dyDescent="0.2">
      <c r="A456" s="1" t="s">
        <v>2384</v>
      </c>
      <c r="B456" s="2" t="s">
        <v>196</v>
      </c>
      <c r="C456" s="2" t="s">
        <v>136</v>
      </c>
      <c r="D456" s="2" t="s">
        <v>136</v>
      </c>
      <c r="E456" s="2">
        <v>2022</v>
      </c>
      <c r="F456" s="2" t="s">
        <v>1796</v>
      </c>
      <c r="G456" s="2" t="s">
        <v>3092</v>
      </c>
      <c r="H456" s="2" t="s">
        <v>3092</v>
      </c>
      <c r="I456" s="1" t="s">
        <v>3643</v>
      </c>
      <c r="J456" s="1" t="s">
        <v>3644</v>
      </c>
      <c r="K456" s="17"/>
      <c r="L456" s="54" t="s">
        <v>1670</v>
      </c>
      <c r="M456" s="39"/>
      <c r="N456" s="39"/>
      <c r="O456" s="39">
        <v>476</v>
      </c>
      <c r="P456" s="39"/>
      <c r="Q456" s="39"/>
      <c r="R456" s="39"/>
      <c r="S456" s="39"/>
      <c r="T456" s="39"/>
      <c r="U456" s="39"/>
      <c r="V456" s="39"/>
      <c r="W456" s="60" t="s">
        <v>1743</v>
      </c>
    </row>
    <row r="457" spans="1:23" s="79" customFormat="1" ht="89.25" x14ac:dyDescent="0.2">
      <c r="A457" s="1" t="s">
        <v>329</v>
      </c>
      <c r="B457" s="2" t="s">
        <v>196</v>
      </c>
      <c r="C457" s="2" t="s">
        <v>330</v>
      </c>
      <c r="D457" s="2" t="s">
        <v>328</v>
      </c>
      <c r="E457" s="2">
        <v>2022</v>
      </c>
      <c r="F457" s="2" t="s">
        <v>1785</v>
      </c>
      <c r="G457" s="2" t="s">
        <v>3093</v>
      </c>
      <c r="H457" s="2" t="s">
        <v>3092</v>
      </c>
      <c r="I457" s="1" t="s">
        <v>14</v>
      </c>
      <c r="J457" s="1" t="s">
        <v>3645</v>
      </c>
      <c r="K457" s="17"/>
      <c r="L457" s="54">
        <v>0.24</v>
      </c>
      <c r="M457" s="39"/>
      <c r="N457" s="39"/>
      <c r="O457" s="39">
        <f>986*0.8</f>
        <v>788.80000000000007</v>
      </c>
      <c r="P457" s="39"/>
      <c r="Q457" s="39"/>
      <c r="R457" s="39"/>
      <c r="S457" s="39"/>
      <c r="T457" s="39"/>
      <c r="U457" s="39"/>
      <c r="V457" s="39"/>
      <c r="W457" s="60" t="s">
        <v>1680</v>
      </c>
    </row>
    <row r="458" spans="1:23" s="79" customFormat="1" ht="140.25" x14ac:dyDescent="0.2">
      <c r="A458" s="1" t="s">
        <v>329</v>
      </c>
      <c r="B458" s="2" t="s">
        <v>196</v>
      </c>
      <c r="C458" s="2" t="s">
        <v>330</v>
      </c>
      <c r="D458" s="2" t="s">
        <v>328</v>
      </c>
      <c r="E458" s="2">
        <v>2022</v>
      </c>
      <c r="F458" s="2" t="s">
        <v>311</v>
      </c>
      <c r="G458" s="2" t="s">
        <v>3093</v>
      </c>
      <c r="H458" s="2" t="s">
        <v>3092</v>
      </c>
      <c r="I458" s="1" t="s">
        <v>14</v>
      </c>
      <c r="J458" s="1" t="s">
        <v>3646</v>
      </c>
      <c r="K458" s="17"/>
      <c r="L458" s="54">
        <v>0.31</v>
      </c>
      <c r="M458" s="39"/>
      <c r="N458" s="39"/>
      <c r="O458" s="39">
        <f>(60+224)*0.8</f>
        <v>227.20000000000002</v>
      </c>
      <c r="P458" s="39"/>
      <c r="Q458" s="39"/>
      <c r="R458" s="39"/>
      <c r="S458" s="39"/>
      <c r="T458" s="39"/>
      <c r="U458" s="39"/>
      <c r="V458" s="39"/>
      <c r="W458" s="60" t="s">
        <v>1680</v>
      </c>
    </row>
    <row r="459" spans="1:23" s="79" customFormat="1" ht="102" x14ac:dyDescent="0.2">
      <c r="A459" s="1" t="s">
        <v>329</v>
      </c>
      <c r="B459" s="2" t="s">
        <v>196</v>
      </c>
      <c r="C459" s="2" t="s">
        <v>330</v>
      </c>
      <c r="D459" s="2" t="s">
        <v>328</v>
      </c>
      <c r="E459" s="2">
        <v>2022</v>
      </c>
      <c r="F459" s="2" t="s">
        <v>1794</v>
      </c>
      <c r="G459" s="2" t="s">
        <v>3092</v>
      </c>
      <c r="H459" s="2" t="s">
        <v>3093</v>
      </c>
      <c r="I459" s="1" t="s">
        <v>3647</v>
      </c>
      <c r="J459" s="1" t="s">
        <v>14</v>
      </c>
      <c r="K459" s="17"/>
      <c r="L459" s="54"/>
      <c r="M459" s="39"/>
      <c r="N459" s="39"/>
      <c r="O459" s="39"/>
      <c r="P459" s="39"/>
      <c r="Q459" s="39"/>
      <c r="R459" s="39"/>
      <c r="S459" s="39"/>
      <c r="T459" s="39"/>
      <c r="U459" s="39"/>
      <c r="V459" s="39"/>
      <c r="W459" s="60" t="s">
        <v>1695</v>
      </c>
    </row>
    <row r="460" spans="1:23" s="79" customFormat="1" ht="89.25" x14ac:dyDescent="0.2">
      <c r="A460" s="1" t="s">
        <v>329</v>
      </c>
      <c r="B460" s="2" t="s">
        <v>196</v>
      </c>
      <c r="C460" s="2" t="s">
        <v>330</v>
      </c>
      <c r="D460" s="2" t="s">
        <v>328</v>
      </c>
      <c r="E460" s="2">
        <v>2022</v>
      </c>
      <c r="F460" s="2" t="s">
        <v>1796</v>
      </c>
      <c r="G460" s="2" t="s">
        <v>3092</v>
      </c>
      <c r="H460" s="2" t="s">
        <v>3093</v>
      </c>
      <c r="I460" s="1" t="s">
        <v>3648</v>
      </c>
      <c r="J460" s="1" t="s">
        <v>14</v>
      </c>
      <c r="K460" s="17"/>
      <c r="L460" s="54"/>
      <c r="M460" s="39"/>
      <c r="N460" s="39"/>
      <c r="O460" s="39"/>
      <c r="P460" s="39"/>
      <c r="Q460" s="39"/>
      <c r="R460" s="39"/>
      <c r="S460" s="39"/>
      <c r="T460" s="39"/>
      <c r="U460" s="39"/>
      <c r="V460" s="39"/>
      <c r="W460" s="60" t="s">
        <v>1695</v>
      </c>
    </row>
    <row r="461" spans="1:23" s="79" customFormat="1" ht="51" x14ac:dyDescent="0.2">
      <c r="A461" s="1" t="s">
        <v>25</v>
      </c>
      <c r="B461" s="2" t="s">
        <v>16</v>
      </c>
      <c r="C461" s="2" t="s">
        <v>26</v>
      </c>
      <c r="D461" s="2" t="s">
        <v>27</v>
      </c>
      <c r="E461" s="2">
        <v>2022</v>
      </c>
      <c r="F461" s="2" t="s">
        <v>1776</v>
      </c>
      <c r="G461" s="2" t="s">
        <v>3095</v>
      </c>
      <c r="H461" s="2" t="s">
        <v>3092</v>
      </c>
      <c r="I461" s="1" t="s">
        <v>14</v>
      </c>
      <c r="J461" s="1" t="s">
        <v>3649</v>
      </c>
      <c r="K461" s="17"/>
      <c r="L461" s="54" t="s">
        <v>3650</v>
      </c>
      <c r="M461" s="39"/>
      <c r="N461" s="39"/>
      <c r="O461" s="39">
        <v>59.6</v>
      </c>
      <c r="P461" s="39"/>
      <c r="Q461" s="39"/>
      <c r="R461" s="39"/>
      <c r="S461" s="39"/>
      <c r="T461" s="39">
        <f>2205*100/20</f>
        <v>11025</v>
      </c>
      <c r="U461" s="39"/>
      <c r="V461" s="39"/>
      <c r="W461" s="60" t="s">
        <v>1770</v>
      </c>
    </row>
    <row r="462" spans="1:23" s="79" customFormat="1" ht="25.5" x14ac:dyDescent="0.2">
      <c r="A462" s="1" t="s">
        <v>25</v>
      </c>
      <c r="B462" s="2" t="s">
        <v>16</v>
      </c>
      <c r="C462" s="2" t="s">
        <v>26</v>
      </c>
      <c r="D462" s="2" t="s">
        <v>27</v>
      </c>
      <c r="E462" s="2">
        <v>2022</v>
      </c>
      <c r="F462" s="2" t="s">
        <v>1779</v>
      </c>
      <c r="G462" s="2" t="s">
        <v>3095</v>
      </c>
      <c r="H462" s="2" t="s">
        <v>3092</v>
      </c>
      <c r="I462" s="1" t="s">
        <v>14</v>
      </c>
      <c r="J462" s="1" t="s">
        <v>3651</v>
      </c>
      <c r="K462" s="17"/>
      <c r="L462" s="54" t="s">
        <v>1670</v>
      </c>
      <c r="M462" s="39"/>
      <c r="N462" s="39"/>
      <c r="O462" s="39"/>
      <c r="P462" s="39"/>
      <c r="Q462" s="39"/>
      <c r="R462" s="39"/>
      <c r="S462" s="39"/>
      <c r="T462" s="39">
        <f>3286*100/20</f>
        <v>16430</v>
      </c>
      <c r="U462" s="39"/>
      <c r="V462" s="39"/>
      <c r="W462" s="60" t="s">
        <v>1770</v>
      </c>
    </row>
    <row r="463" spans="1:23" s="79" customFormat="1" ht="25.5" x14ac:dyDescent="0.2">
      <c r="A463" s="1" t="s">
        <v>25</v>
      </c>
      <c r="B463" s="2" t="s">
        <v>16</v>
      </c>
      <c r="C463" s="2" t="s">
        <v>26</v>
      </c>
      <c r="D463" s="2" t="s">
        <v>27</v>
      </c>
      <c r="E463" s="2">
        <v>2022</v>
      </c>
      <c r="F463" s="2" t="s">
        <v>1781</v>
      </c>
      <c r="G463" s="2" t="s">
        <v>3095</v>
      </c>
      <c r="H463" s="2" t="s">
        <v>3092</v>
      </c>
      <c r="I463" s="1" t="s">
        <v>14</v>
      </c>
      <c r="J463" s="1" t="s">
        <v>3652</v>
      </c>
      <c r="K463" s="17"/>
      <c r="L463" s="54" t="s">
        <v>1670</v>
      </c>
      <c r="M463" s="39"/>
      <c r="N463" s="39"/>
      <c r="O463" s="39"/>
      <c r="P463" s="39"/>
      <c r="Q463" s="39"/>
      <c r="R463" s="39"/>
      <c r="S463" s="39"/>
      <c r="T463" s="39">
        <f>4243*100/20</f>
        <v>21215</v>
      </c>
      <c r="U463" s="39"/>
      <c r="V463" s="39"/>
      <c r="W463" s="60" t="s">
        <v>1770</v>
      </c>
    </row>
    <row r="464" spans="1:23" s="79" customFormat="1" ht="51" x14ac:dyDescent="0.2">
      <c r="A464" s="1" t="s">
        <v>25</v>
      </c>
      <c r="B464" s="2" t="s">
        <v>16</v>
      </c>
      <c r="C464" s="2" t="s">
        <v>26</v>
      </c>
      <c r="D464" s="2" t="s">
        <v>27</v>
      </c>
      <c r="E464" s="2">
        <v>2022</v>
      </c>
      <c r="F464" s="2" t="s">
        <v>1783</v>
      </c>
      <c r="G464" s="2" t="s">
        <v>3095</v>
      </c>
      <c r="H464" s="2" t="s">
        <v>3092</v>
      </c>
      <c r="I464" s="1" t="s">
        <v>14</v>
      </c>
      <c r="J464" s="1" t="s">
        <v>3653</v>
      </c>
      <c r="K464" s="17"/>
      <c r="L464" s="54" t="s">
        <v>1670</v>
      </c>
      <c r="M464" s="39"/>
      <c r="N464" s="39"/>
      <c r="O464" s="39"/>
      <c r="P464" s="39"/>
      <c r="Q464" s="39"/>
      <c r="R464" s="39"/>
      <c r="S464" s="39"/>
      <c r="T464" s="39">
        <f>(4414+15.8)*100/20</f>
        <v>22149</v>
      </c>
      <c r="U464" s="39"/>
      <c r="V464" s="39"/>
      <c r="W464" s="60" t="s">
        <v>3085</v>
      </c>
    </row>
    <row r="465" spans="1:23" s="79" customFormat="1" ht="63.75" x14ac:dyDescent="0.2">
      <c r="A465" s="1" t="s">
        <v>25</v>
      </c>
      <c r="B465" s="2" t="s">
        <v>16</v>
      </c>
      <c r="C465" s="2" t="s">
        <v>26</v>
      </c>
      <c r="D465" s="2" t="s">
        <v>27</v>
      </c>
      <c r="E465" s="2">
        <v>2022</v>
      </c>
      <c r="F465" s="2" t="s">
        <v>1785</v>
      </c>
      <c r="G465" s="2" t="s">
        <v>3095</v>
      </c>
      <c r="H465" s="2" t="s">
        <v>3092</v>
      </c>
      <c r="I465" s="1" t="s">
        <v>14</v>
      </c>
      <c r="J465" s="1" t="s">
        <v>3654</v>
      </c>
      <c r="K465" s="17"/>
      <c r="L465" s="54" t="s">
        <v>3655</v>
      </c>
      <c r="M465" s="39"/>
      <c r="N465" s="39"/>
      <c r="O465" s="39"/>
      <c r="P465" s="39"/>
      <c r="Q465" s="39"/>
      <c r="R465" s="39"/>
      <c r="S465" s="39"/>
      <c r="T465" s="39">
        <f>(3644+802.19)*100/20</f>
        <v>22230.950000000004</v>
      </c>
      <c r="U465" s="39">
        <v>266</v>
      </c>
      <c r="V465" s="39"/>
      <c r="W465" s="60" t="s">
        <v>3085</v>
      </c>
    </row>
    <row r="466" spans="1:23" s="79" customFormat="1" ht="51" x14ac:dyDescent="0.2">
      <c r="A466" s="1" t="s">
        <v>25</v>
      </c>
      <c r="B466" s="2" t="s">
        <v>16</v>
      </c>
      <c r="C466" s="2" t="s">
        <v>26</v>
      </c>
      <c r="D466" s="2" t="s">
        <v>27</v>
      </c>
      <c r="E466" s="2">
        <v>2022</v>
      </c>
      <c r="F466" s="2" t="s">
        <v>1787</v>
      </c>
      <c r="G466" s="2" t="s">
        <v>3095</v>
      </c>
      <c r="H466" s="2" t="s">
        <v>3092</v>
      </c>
      <c r="I466" s="1" t="s">
        <v>14</v>
      </c>
      <c r="J466" s="1" t="s">
        <v>3656</v>
      </c>
      <c r="K466" s="17"/>
      <c r="L466" s="54" t="s">
        <v>1670</v>
      </c>
      <c r="M466" s="39"/>
      <c r="N466" s="39"/>
      <c r="O466" s="39"/>
      <c r="P466" s="39"/>
      <c r="Q466" s="39"/>
      <c r="R466" s="39"/>
      <c r="S466" s="39"/>
      <c r="T466" s="39">
        <f>(3698+66)/0.66*100/20</f>
        <v>28515.151515151512</v>
      </c>
      <c r="U466" s="39"/>
      <c r="V466" s="39"/>
      <c r="W466" s="60" t="s">
        <v>3657</v>
      </c>
    </row>
    <row r="467" spans="1:23" s="79" customFormat="1" ht="76.5" x14ac:dyDescent="0.2">
      <c r="A467" s="1" t="s">
        <v>25</v>
      </c>
      <c r="B467" s="2" t="s">
        <v>16</v>
      </c>
      <c r="C467" s="2" t="s">
        <v>26</v>
      </c>
      <c r="D467" s="2" t="s">
        <v>27</v>
      </c>
      <c r="E467" s="2">
        <v>2022</v>
      </c>
      <c r="F467" s="2" t="s">
        <v>1789</v>
      </c>
      <c r="G467" s="2" t="s">
        <v>3095</v>
      </c>
      <c r="H467" s="2" t="s">
        <v>3092</v>
      </c>
      <c r="I467" s="1" t="s">
        <v>14</v>
      </c>
      <c r="J467" s="1" t="s">
        <v>3658</v>
      </c>
      <c r="K467" s="17"/>
      <c r="L467" s="54" t="s">
        <v>1670</v>
      </c>
      <c r="M467" s="39"/>
      <c r="N467" s="39"/>
      <c r="O467" s="39">
        <v>55</v>
      </c>
      <c r="P467" s="39"/>
      <c r="Q467" s="39"/>
      <c r="R467" s="39"/>
      <c r="S467" s="39"/>
      <c r="T467" s="39">
        <f>(3353+35.4)*100/20</f>
        <v>16942</v>
      </c>
      <c r="U467" s="39"/>
      <c r="V467" s="39"/>
      <c r="W467" s="60" t="s">
        <v>3085</v>
      </c>
    </row>
    <row r="468" spans="1:23" s="79" customFormat="1" ht="102" x14ac:dyDescent="0.2">
      <c r="A468" s="1" t="s">
        <v>25</v>
      </c>
      <c r="B468" s="2" t="s">
        <v>16</v>
      </c>
      <c r="C468" s="2" t="s">
        <v>26</v>
      </c>
      <c r="D468" s="2" t="s">
        <v>27</v>
      </c>
      <c r="E468" s="2">
        <v>2022</v>
      </c>
      <c r="F468" s="2" t="s">
        <v>1791</v>
      </c>
      <c r="G468" s="2" t="s">
        <v>3095</v>
      </c>
      <c r="H468" s="2" t="s">
        <v>3092</v>
      </c>
      <c r="I468" s="1" t="s">
        <v>14</v>
      </c>
      <c r="J468" s="1" t="s">
        <v>3659</v>
      </c>
      <c r="K468" s="17"/>
      <c r="L468" s="54" t="s">
        <v>3660</v>
      </c>
      <c r="M468" s="39"/>
      <c r="N468" s="39"/>
      <c r="O468" s="39">
        <v>86.7</v>
      </c>
      <c r="P468" s="39"/>
      <c r="Q468" s="39"/>
      <c r="R468" s="39"/>
      <c r="S468" s="39"/>
      <c r="T468" s="39">
        <f>(1404+942)/0.66*100/20</f>
        <v>17772.727272727272</v>
      </c>
      <c r="U468" s="39">
        <v>398.53</v>
      </c>
      <c r="V468" s="39"/>
      <c r="W468" s="60" t="s">
        <v>3657</v>
      </c>
    </row>
    <row r="469" spans="1:23" s="79" customFormat="1" ht="114.75" x14ac:dyDescent="0.2">
      <c r="A469" s="1" t="s">
        <v>25</v>
      </c>
      <c r="B469" s="2" t="s">
        <v>16</v>
      </c>
      <c r="C469" s="2" t="s">
        <v>26</v>
      </c>
      <c r="D469" s="2" t="s">
        <v>27</v>
      </c>
      <c r="E469" s="2">
        <v>2022</v>
      </c>
      <c r="F469" s="2" t="s">
        <v>311</v>
      </c>
      <c r="G469" s="2" t="s">
        <v>3095</v>
      </c>
      <c r="H469" s="2" t="s">
        <v>3092</v>
      </c>
      <c r="I469" s="1" t="s">
        <v>14</v>
      </c>
      <c r="J469" s="1" t="s">
        <v>3661</v>
      </c>
      <c r="K469" s="17"/>
      <c r="L469" s="54" t="s">
        <v>3662</v>
      </c>
      <c r="M469" s="39"/>
      <c r="N469" s="39"/>
      <c r="O469" s="39">
        <v>117.75</v>
      </c>
      <c r="P469" s="39"/>
      <c r="Q469" s="39"/>
      <c r="R469" s="39"/>
      <c r="S469" s="39"/>
      <c r="T469" s="39">
        <f>(539.66+1797.86)/0.66*100/20</f>
        <v>17708.484848484848</v>
      </c>
      <c r="U469" s="39">
        <v>687.7</v>
      </c>
      <c r="V469" s="39"/>
      <c r="W469" s="60" t="s">
        <v>3657</v>
      </c>
    </row>
    <row r="470" spans="1:23" s="79" customFormat="1" ht="51" x14ac:dyDescent="0.2">
      <c r="A470" s="1" t="s">
        <v>25</v>
      </c>
      <c r="B470" s="2" t="s">
        <v>16</v>
      </c>
      <c r="C470" s="2" t="s">
        <v>26</v>
      </c>
      <c r="D470" s="2" t="s">
        <v>27</v>
      </c>
      <c r="E470" s="2">
        <v>2022</v>
      </c>
      <c r="F470" s="2" t="s">
        <v>1794</v>
      </c>
      <c r="G470" s="2" t="s">
        <v>3095</v>
      </c>
      <c r="H470" s="2" t="s">
        <v>3092</v>
      </c>
      <c r="I470" s="1" t="s">
        <v>14</v>
      </c>
      <c r="J470" s="1" t="s">
        <v>3663</v>
      </c>
      <c r="K470" s="17"/>
      <c r="L470" s="54" t="s">
        <v>1670</v>
      </c>
      <c r="M470" s="39"/>
      <c r="N470" s="39"/>
      <c r="O470" s="39"/>
      <c r="P470" s="39"/>
      <c r="Q470" s="39"/>
      <c r="R470" s="39"/>
      <c r="S470" s="39"/>
      <c r="T470" s="39">
        <f>4359*100/20</f>
        <v>21795</v>
      </c>
      <c r="U470" s="39"/>
      <c r="V470" s="39"/>
      <c r="W470" s="60" t="s">
        <v>3085</v>
      </c>
    </row>
    <row r="471" spans="1:23" s="79" customFormat="1" ht="51" x14ac:dyDescent="0.2">
      <c r="A471" s="1" t="s">
        <v>25</v>
      </c>
      <c r="B471" s="2" t="s">
        <v>16</v>
      </c>
      <c r="C471" s="2" t="s">
        <v>26</v>
      </c>
      <c r="D471" s="2" t="s">
        <v>27</v>
      </c>
      <c r="E471" s="2">
        <v>2022</v>
      </c>
      <c r="F471" s="2" t="s">
        <v>1796</v>
      </c>
      <c r="G471" s="2" t="s">
        <v>3095</v>
      </c>
      <c r="H471" s="2" t="s">
        <v>3092</v>
      </c>
      <c r="I471" s="1" t="s">
        <v>14</v>
      </c>
      <c r="J471" s="1" t="s">
        <v>3664</v>
      </c>
      <c r="K471" s="17"/>
      <c r="L471" s="54" t="s">
        <v>1670</v>
      </c>
      <c r="M471" s="39"/>
      <c r="N471" s="39"/>
      <c r="O471" s="39"/>
      <c r="P471" s="39"/>
      <c r="Q471" s="39"/>
      <c r="R471" s="39"/>
      <c r="S471" s="39"/>
      <c r="T471" s="39">
        <f>(1651+2474)*100/20</f>
        <v>20625</v>
      </c>
      <c r="U471" s="39"/>
      <c r="V471" s="39"/>
      <c r="W471" s="60" t="s">
        <v>3085</v>
      </c>
    </row>
    <row r="472" spans="1:23" s="79" customFormat="1" ht="51" x14ac:dyDescent="0.2">
      <c r="A472" s="1" t="s">
        <v>25</v>
      </c>
      <c r="B472" s="2" t="s">
        <v>16</v>
      </c>
      <c r="C472" s="2" t="s">
        <v>26</v>
      </c>
      <c r="D472" s="2" t="s">
        <v>27</v>
      </c>
      <c r="E472" s="2">
        <v>2022</v>
      </c>
      <c r="F472" s="2" t="s">
        <v>1798</v>
      </c>
      <c r="G472" s="2" t="s">
        <v>3095</v>
      </c>
      <c r="H472" s="2" t="s">
        <v>3092</v>
      </c>
      <c r="I472" s="1" t="s">
        <v>14</v>
      </c>
      <c r="J472" s="1" t="s">
        <v>3665</v>
      </c>
      <c r="K472" s="17"/>
      <c r="L472" s="54" t="s">
        <v>1670</v>
      </c>
      <c r="M472" s="39"/>
      <c r="N472" s="39"/>
      <c r="O472" s="39"/>
      <c r="P472" s="39"/>
      <c r="Q472" s="39"/>
      <c r="R472" s="39"/>
      <c r="S472" s="39"/>
      <c r="T472" s="39">
        <f>(3143.052+22.73)*100/20</f>
        <v>15828.91</v>
      </c>
      <c r="U472" s="39"/>
      <c r="V472" s="39"/>
      <c r="W472" s="60" t="s">
        <v>3085</v>
      </c>
    </row>
    <row r="473" spans="1:23" s="79" customFormat="1" ht="38.25" x14ac:dyDescent="0.2">
      <c r="A473" s="1" t="s">
        <v>339</v>
      </c>
      <c r="B473" s="2" t="s">
        <v>340</v>
      </c>
      <c r="C473" s="2" t="s">
        <v>341</v>
      </c>
      <c r="D473" s="2" t="s">
        <v>77</v>
      </c>
      <c r="E473" s="2">
        <v>2022</v>
      </c>
      <c r="F473" s="2" t="s">
        <v>1781</v>
      </c>
      <c r="G473" s="2" t="s">
        <v>3095</v>
      </c>
      <c r="H473" s="2" t="s">
        <v>3092</v>
      </c>
      <c r="I473" s="1" t="s">
        <v>14</v>
      </c>
      <c r="J473" s="1" t="s">
        <v>3666</v>
      </c>
      <c r="K473" s="17"/>
      <c r="L473" s="80" t="s">
        <v>1670</v>
      </c>
      <c r="M473" s="15"/>
      <c r="N473" s="15"/>
      <c r="O473" s="15">
        <v>396</v>
      </c>
      <c r="P473" s="15"/>
      <c r="Q473" s="15"/>
      <c r="R473" s="15"/>
      <c r="S473" s="15"/>
      <c r="T473" s="15"/>
      <c r="U473" s="15"/>
      <c r="V473" s="15"/>
      <c r="W473" s="60" t="s">
        <v>1699</v>
      </c>
    </row>
    <row r="474" spans="1:23" s="79" customFormat="1" ht="38.25" x14ac:dyDescent="0.2">
      <c r="A474" s="1" t="s">
        <v>339</v>
      </c>
      <c r="B474" s="2" t="s">
        <v>340</v>
      </c>
      <c r="C474" s="2" t="s">
        <v>341</v>
      </c>
      <c r="D474" s="2" t="s">
        <v>77</v>
      </c>
      <c r="E474" s="2">
        <v>2022</v>
      </c>
      <c r="F474" s="2" t="s">
        <v>1787</v>
      </c>
      <c r="G474" s="2" t="s">
        <v>3095</v>
      </c>
      <c r="H474" s="2" t="s">
        <v>3092</v>
      </c>
      <c r="I474" s="1" t="s">
        <v>14</v>
      </c>
      <c r="J474" s="1" t="s">
        <v>3667</v>
      </c>
      <c r="K474" s="17"/>
      <c r="L474" s="54" t="s">
        <v>1670</v>
      </c>
      <c r="M474" s="15"/>
      <c r="N474" s="15"/>
      <c r="O474" s="15">
        <v>396</v>
      </c>
      <c r="P474" s="15"/>
      <c r="Q474" s="15"/>
      <c r="R474" s="15"/>
      <c r="S474" s="15"/>
      <c r="T474" s="15"/>
      <c r="U474" s="15"/>
      <c r="V474" s="15"/>
      <c r="W474" s="60" t="s">
        <v>1699</v>
      </c>
    </row>
    <row r="475" spans="1:23" s="79" customFormat="1" ht="25.5" x14ac:dyDescent="0.2">
      <c r="A475" s="1" t="s">
        <v>339</v>
      </c>
      <c r="B475" s="2" t="s">
        <v>340</v>
      </c>
      <c r="C475" s="2" t="s">
        <v>341</v>
      </c>
      <c r="D475" s="2" t="s">
        <v>77</v>
      </c>
      <c r="E475" s="2">
        <v>2022</v>
      </c>
      <c r="F475" s="2" t="s">
        <v>1794</v>
      </c>
      <c r="G475" s="2" t="s">
        <v>3095</v>
      </c>
      <c r="H475" s="2" t="s">
        <v>3092</v>
      </c>
      <c r="I475" s="1" t="s">
        <v>14</v>
      </c>
      <c r="J475" s="1" t="s">
        <v>3668</v>
      </c>
      <c r="K475" s="17"/>
      <c r="L475" s="54" t="s">
        <v>1670</v>
      </c>
      <c r="M475" s="39"/>
      <c r="N475" s="39"/>
      <c r="O475" s="39">
        <v>396</v>
      </c>
      <c r="P475" s="39"/>
      <c r="Q475" s="39"/>
      <c r="R475" s="39"/>
      <c r="S475" s="39"/>
      <c r="T475" s="39"/>
      <c r="U475" s="39"/>
      <c r="V475" s="39"/>
      <c r="W475" s="60" t="s">
        <v>1699</v>
      </c>
    </row>
    <row r="476" spans="1:23" s="79" customFormat="1" ht="25.5" x14ac:dyDescent="0.2">
      <c r="A476" s="1" t="s">
        <v>339</v>
      </c>
      <c r="B476" s="2" t="s">
        <v>340</v>
      </c>
      <c r="C476" s="2" t="s">
        <v>341</v>
      </c>
      <c r="D476" s="2" t="s">
        <v>77</v>
      </c>
      <c r="E476" s="2">
        <v>2022</v>
      </c>
      <c r="F476" s="2" t="s">
        <v>1798</v>
      </c>
      <c r="G476" s="2" t="s">
        <v>3095</v>
      </c>
      <c r="H476" s="2" t="s">
        <v>3092</v>
      </c>
      <c r="I476" s="1" t="s">
        <v>14</v>
      </c>
      <c r="J476" s="1" t="s">
        <v>3669</v>
      </c>
      <c r="K476" s="17"/>
      <c r="L476" s="54" t="s">
        <v>1670</v>
      </c>
      <c r="M476" s="39"/>
      <c r="N476" s="39"/>
      <c r="O476" s="39">
        <v>396</v>
      </c>
      <c r="P476" s="39"/>
      <c r="Q476" s="39"/>
      <c r="R476" s="39"/>
      <c r="S476" s="39"/>
      <c r="T476" s="39"/>
      <c r="U476" s="39"/>
      <c r="V476" s="39"/>
      <c r="W476" s="60" t="s">
        <v>1699</v>
      </c>
    </row>
    <row r="477" spans="1:23" s="79" customFormat="1" ht="25.5" x14ac:dyDescent="0.2">
      <c r="A477" s="1" t="s">
        <v>147</v>
      </c>
      <c r="B477" s="2" t="s">
        <v>38</v>
      </c>
      <c r="C477" s="2" t="s">
        <v>148</v>
      </c>
      <c r="D477" s="2" t="s">
        <v>108</v>
      </c>
      <c r="E477" s="2">
        <v>2022</v>
      </c>
      <c r="F477" s="2" t="s">
        <v>1776</v>
      </c>
      <c r="G477" s="2" t="s">
        <v>3095</v>
      </c>
      <c r="H477" s="2" t="s">
        <v>3092</v>
      </c>
      <c r="I477" s="1" t="s">
        <v>14</v>
      </c>
      <c r="J477" s="1" t="s">
        <v>3670</v>
      </c>
      <c r="K477" s="17"/>
      <c r="L477" s="54">
        <v>0.18099999999999999</v>
      </c>
      <c r="M477" s="39"/>
      <c r="N477" s="39"/>
      <c r="O477" s="39">
        <v>106.9</v>
      </c>
      <c r="P477" s="39"/>
      <c r="Q477" s="39"/>
      <c r="R477" s="39"/>
      <c r="S477" s="39"/>
      <c r="T477" s="39"/>
      <c r="U477" s="39"/>
      <c r="V477" s="39"/>
      <c r="W477" s="60" t="s">
        <v>1681</v>
      </c>
    </row>
    <row r="478" spans="1:23" s="79" customFormat="1" ht="25.5" x14ac:dyDescent="0.2">
      <c r="A478" s="1" t="s">
        <v>147</v>
      </c>
      <c r="B478" s="2" t="s">
        <v>38</v>
      </c>
      <c r="C478" s="2" t="s">
        <v>148</v>
      </c>
      <c r="D478" s="2" t="s">
        <v>108</v>
      </c>
      <c r="E478" s="2">
        <v>2022</v>
      </c>
      <c r="F478" s="2" t="s">
        <v>1779</v>
      </c>
      <c r="G478" s="2" t="s">
        <v>3095</v>
      </c>
      <c r="H478" s="2" t="s">
        <v>3092</v>
      </c>
      <c r="I478" s="1" t="s">
        <v>14</v>
      </c>
      <c r="J478" s="1" t="s">
        <v>3671</v>
      </c>
      <c r="K478" s="17"/>
      <c r="L478" s="54">
        <v>0.191</v>
      </c>
      <c r="M478" s="39"/>
      <c r="N478" s="39"/>
      <c r="O478" s="39">
        <v>94</v>
      </c>
      <c r="P478" s="39"/>
      <c r="Q478" s="39"/>
      <c r="R478" s="39"/>
      <c r="S478" s="39"/>
      <c r="T478" s="39"/>
      <c r="U478" s="39"/>
      <c r="V478" s="39"/>
      <c r="W478" s="60" t="s">
        <v>1681</v>
      </c>
    </row>
    <row r="479" spans="1:23" s="79" customFormat="1" ht="25.5" x14ac:dyDescent="0.2">
      <c r="A479" s="1" t="s">
        <v>147</v>
      </c>
      <c r="B479" s="2" t="s">
        <v>38</v>
      </c>
      <c r="C479" s="2" t="s">
        <v>148</v>
      </c>
      <c r="D479" s="2" t="s">
        <v>108</v>
      </c>
      <c r="E479" s="2">
        <v>2022</v>
      </c>
      <c r="F479" s="2" t="s">
        <v>1781</v>
      </c>
      <c r="G479" s="2" t="s">
        <v>3095</v>
      </c>
      <c r="H479" s="2" t="s">
        <v>3092</v>
      </c>
      <c r="I479" s="1" t="s">
        <v>14</v>
      </c>
      <c r="J479" s="1" t="s">
        <v>3672</v>
      </c>
      <c r="K479" s="17"/>
      <c r="L479" s="54">
        <v>0.221</v>
      </c>
      <c r="M479" s="39"/>
      <c r="N479" s="39"/>
      <c r="O479" s="39">
        <v>62.3</v>
      </c>
      <c r="P479" s="39"/>
      <c r="Q479" s="39"/>
      <c r="R479" s="39"/>
      <c r="S479" s="39"/>
      <c r="T479" s="39"/>
      <c r="U479" s="39"/>
      <c r="V479" s="39"/>
      <c r="W479" s="60" t="s">
        <v>1681</v>
      </c>
    </row>
    <row r="480" spans="1:23" s="79" customFormat="1" ht="25.5" x14ac:dyDescent="0.2">
      <c r="A480" s="1" t="s">
        <v>147</v>
      </c>
      <c r="B480" s="2" t="s">
        <v>38</v>
      </c>
      <c r="C480" s="2" t="s">
        <v>148</v>
      </c>
      <c r="D480" s="2" t="s">
        <v>108</v>
      </c>
      <c r="E480" s="2">
        <v>2022</v>
      </c>
      <c r="F480" s="2" t="s">
        <v>1787</v>
      </c>
      <c r="G480" s="2" t="s">
        <v>3095</v>
      </c>
      <c r="H480" s="2" t="s">
        <v>3092</v>
      </c>
      <c r="I480" s="1" t="s">
        <v>14</v>
      </c>
      <c r="J480" s="1" t="s">
        <v>3673</v>
      </c>
      <c r="K480" s="17"/>
      <c r="L480" s="54">
        <v>0.161</v>
      </c>
      <c r="M480" s="39"/>
      <c r="N480" s="39"/>
      <c r="O480" s="39">
        <v>129.80000000000001</v>
      </c>
      <c r="P480" s="39"/>
      <c r="Q480" s="39"/>
      <c r="R480" s="39"/>
      <c r="S480" s="39"/>
      <c r="T480" s="39"/>
      <c r="U480" s="39"/>
      <c r="V480" s="39"/>
      <c r="W480" s="60" t="s">
        <v>1681</v>
      </c>
    </row>
    <row r="481" spans="1:23" s="79" customFormat="1" ht="38.25" x14ac:dyDescent="0.2">
      <c r="A481" s="1" t="s">
        <v>147</v>
      </c>
      <c r="B481" s="2" t="s">
        <v>38</v>
      </c>
      <c r="C481" s="2" t="s">
        <v>148</v>
      </c>
      <c r="D481" s="2" t="s">
        <v>108</v>
      </c>
      <c r="E481" s="2">
        <v>2022</v>
      </c>
      <c r="F481" s="2" t="s">
        <v>1789</v>
      </c>
      <c r="G481" s="2" t="s">
        <v>3095</v>
      </c>
      <c r="H481" s="2" t="s">
        <v>3092</v>
      </c>
      <c r="I481" s="1" t="s">
        <v>14</v>
      </c>
      <c r="J481" s="1" t="s">
        <v>3674</v>
      </c>
      <c r="K481" s="17"/>
      <c r="L481" s="54">
        <v>0.17399999999999999</v>
      </c>
      <c r="M481" s="39"/>
      <c r="N481" s="39"/>
      <c r="O481" s="39">
        <v>139.66</v>
      </c>
      <c r="P481" s="39"/>
      <c r="Q481" s="39"/>
      <c r="R481" s="39"/>
      <c r="S481" s="39"/>
      <c r="T481" s="39"/>
      <c r="U481" s="39"/>
      <c r="V481" s="39"/>
      <c r="W481" s="60"/>
    </row>
    <row r="482" spans="1:23" s="79" customFormat="1" ht="25.5" x14ac:dyDescent="0.2">
      <c r="A482" s="1" t="s">
        <v>147</v>
      </c>
      <c r="B482" s="2" t="s">
        <v>38</v>
      </c>
      <c r="C482" s="2" t="s">
        <v>148</v>
      </c>
      <c r="D482" s="2" t="s">
        <v>108</v>
      </c>
      <c r="E482" s="2">
        <v>2022</v>
      </c>
      <c r="F482" s="2" t="s">
        <v>1791</v>
      </c>
      <c r="G482" s="2" t="s">
        <v>3095</v>
      </c>
      <c r="H482" s="2" t="s">
        <v>3092</v>
      </c>
      <c r="I482" s="1" t="s">
        <v>14</v>
      </c>
      <c r="J482" s="1" t="s">
        <v>3675</v>
      </c>
      <c r="K482" s="17"/>
      <c r="L482" s="54">
        <v>0.2185</v>
      </c>
      <c r="M482" s="39"/>
      <c r="N482" s="39"/>
      <c r="O482" s="39">
        <v>116.02</v>
      </c>
      <c r="P482" s="39"/>
      <c r="Q482" s="39"/>
      <c r="R482" s="39"/>
      <c r="S482" s="39"/>
      <c r="T482" s="39"/>
      <c r="U482" s="39"/>
      <c r="V482" s="39"/>
      <c r="W482" s="60" t="s">
        <v>1681</v>
      </c>
    </row>
    <row r="483" spans="1:23" s="79" customFormat="1" ht="25.5" x14ac:dyDescent="0.2">
      <c r="A483" s="1" t="s">
        <v>147</v>
      </c>
      <c r="B483" s="2" t="s">
        <v>38</v>
      </c>
      <c r="C483" s="2" t="s">
        <v>148</v>
      </c>
      <c r="D483" s="2" t="s">
        <v>108</v>
      </c>
      <c r="E483" s="2">
        <v>2022</v>
      </c>
      <c r="F483" s="2" t="s">
        <v>311</v>
      </c>
      <c r="G483" s="2" t="s">
        <v>3095</v>
      </c>
      <c r="H483" s="2" t="s">
        <v>3092</v>
      </c>
      <c r="I483" s="1" t="s">
        <v>14</v>
      </c>
      <c r="J483" s="1" t="s">
        <v>3676</v>
      </c>
      <c r="K483" s="17"/>
      <c r="L483" s="54">
        <v>0.1772</v>
      </c>
      <c r="M483" s="39"/>
      <c r="N483" s="39"/>
      <c r="O483" s="39">
        <v>129.74</v>
      </c>
      <c r="P483" s="39"/>
      <c r="Q483" s="39"/>
      <c r="R483" s="39"/>
      <c r="S483" s="39"/>
      <c r="T483" s="39"/>
      <c r="U483" s="39"/>
      <c r="V483" s="39"/>
      <c r="W483" s="60"/>
    </row>
    <row r="484" spans="1:23" s="79" customFormat="1" ht="38.25" x14ac:dyDescent="0.2">
      <c r="A484" s="1" t="s">
        <v>147</v>
      </c>
      <c r="B484" s="2" t="s">
        <v>38</v>
      </c>
      <c r="C484" s="2" t="s">
        <v>148</v>
      </c>
      <c r="D484" s="2" t="s">
        <v>108</v>
      </c>
      <c r="E484" s="2">
        <v>2022</v>
      </c>
      <c r="F484" s="2" t="s">
        <v>1794</v>
      </c>
      <c r="G484" s="2" t="s">
        <v>3095</v>
      </c>
      <c r="H484" s="2" t="s">
        <v>3092</v>
      </c>
      <c r="I484" s="1" t="s">
        <v>14</v>
      </c>
      <c r="J484" s="1" t="s">
        <v>3677</v>
      </c>
      <c r="K484" s="17"/>
      <c r="L484" s="54">
        <v>0.183</v>
      </c>
      <c r="M484" s="39"/>
      <c r="N484" s="39"/>
      <c r="O484" s="39">
        <v>96.2</v>
      </c>
      <c r="P484" s="39"/>
      <c r="Q484" s="39"/>
      <c r="R484" s="39"/>
      <c r="S484" s="39"/>
      <c r="T484" s="39"/>
      <c r="U484" s="39"/>
      <c r="V484" s="39"/>
      <c r="W484" s="60"/>
    </row>
    <row r="485" spans="1:23" s="79" customFormat="1" ht="38.25" x14ac:dyDescent="0.2">
      <c r="A485" s="1" t="s">
        <v>147</v>
      </c>
      <c r="B485" s="2" t="s">
        <v>38</v>
      </c>
      <c r="C485" s="2" t="s">
        <v>148</v>
      </c>
      <c r="D485" s="2" t="s">
        <v>108</v>
      </c>
      <c r="E485" s="2">
        <v>2022</v>
      </c>
      <c r="F485" s="2" t="s">
        <v>1796</v>
      </c>
      <c r="G485" s="2" t="s">
        <v>3095</v>
      </c>
      <c r="H485" s="2" t="s">
        <v>3092</v>
      </c>
      <c r="I485" s="1" t="s">
        <v>14</v>
      </c>
      <c r="J485" s="1" t="s">
        <v>3678</v>
      </c>
      <c r="K485" s="17"/>
      <c r="L485" s="54">
        <v>0.17960000000000001</v>
      </c>
      <c r="M485" s="39"/>
      <c r="N485" s="39"/>
      <c r="O485" s="39">
        <v>105.48</v>
      </c>
      <c r="P485" s="39"/>
      <c r="Q485" s="39"/>
      <c r="R485" s="39"/>
      <c r="S485" s="39"/>
      <c r="T485" s="39"/>
      <c r="U485" s="39"/>
      <c r="V485" s="39"/>
      <c r="W485" s="60"/>
    </row>
    <row r="486" spans="1:23" s="79" customFormat="1" ht="38.25" x14ac:dyDescent="0.2">
      <c r="A486" s="1" t="s">
        <v>147</v>
      </c>
      <c r="B486" s="2" t="s">
        <v>38</v>
      </c>
      <c r="C486" s="2" t="s">
        <v>148</v>
      </c>
      <c r="D486" s="2" t="s">
        <v>108</v>
      </c>
      <c r="E486" s="2">
        <v>2022</v>
      </c>
      <c r="F486" s="2" t="s">
        <v>1798</v>
      </c>
      <c r="G486" s="2" t="s">
        <v>3095</v>
      </c>
      <c r="H486" s="2" t="s">
        <v>3092</v>
      </c>
      <c r="I486" s="1" t="s">
        <v>14</v>
      </c>
      <c r="J486" s="1" t="s">
        <v>3679</v>
      </c>
      <c r="K486" s="17"/>
      <c r="L486" s="54">
        <v>0.17860000000000001</v>
      </c>
      <c r="M486" s="39"/>
      <c r="N486" s="39"/>
      <c r="O486" s="39">
        <v>81.23</v>
      </c>
      <c r="P486" s="39"/>
      <c r="Q486" s="39"/>
      <c r="R486" s="39"/>
      <c r="S486" s="39"/>
      <c r="T486" s="39"/>
      <c r="U486" s="39"/>
      <c r="V486" s="39"/>
      <c r="W486" s="60"/>
    </row>
    <row r="487" spans="1:23" s="79" customFormat="1" ht="318.75" x14ac:dyDescent="0.2">
      <c r="A487" s="1" t="s">
        <v>3680</v>
      </c>
      <c r="B487" s="2" t="s">
        <v>196</v>
      </c>
      <c r="C487" s="2" t="s">
        <v>3681</v>
      </c>
      <c r="D487" s="2" t="s">
        <v>336</v>
      </c>
      <c r="E487" s="2">
        <v>2022</v>
      </c>
      <c r="F487" s="2" t="s">
        <v>1787</v>
      </c>
      <c r="G487" s="2" t="s">
        <v>3092</v>
      </c>
      <c r="H487" s="2" t="s">
        <v>3092</v>
      </c>
      <c r="I487" s="1" t="s">
        <v>3682</v>
      </c>
      <c r="J487" s="1" t="s">
        <v>3683</v>
      </c>
      <c r="K487" s="17"/>
      <c r="L487" s="54">
        <v>0.28799999999999998</v>
      </c>
      <c r="M487" s="39"/>
      <c r="N487" s="39"/>
      <c r="O487" s="39">
        <v>1697.53</v>
      </c>
      <c r="P487" s="39"/>
      <c r="Q487" s="39"/>
      <c r="R487" s="39"/>
      <c r="S487" s="39"/>
      <c r="T487" s="39"/>
      <c r="U487" s="39"/>
      <c r="V487" s="39"/>
      <c r="W487" s="60" t="s">
        <v>1743</v>
      </c>
    </row>
    <row r="488" spans="1:23" s="79" customFormat="1" ht="63.75" x14ac:dyDescent="0.2">
      <c r="A488" s="1" t="s">
        <v>254</v>
      </c>
      <c r="B488" s="2" t="s">
        <v>32</v>
      </c>
      <c r="C488" s="2" t="s">
        <v>255</v>
      </c>
      <c r="D488" s="2" t="s">
        <v>88</v>
      </c>
      <c r="E488" s="2">
        <v>2022</v>
      </c>
      <c r="F488" s="2" t="s">
        <v>1781</v>
      </c>
      <c r="G488" s="2" t="s">
        <v>3095</v>
      </c>
      <c r="H488" s="2" t="s">
        <v>3092</v>
      </c>
      <c r="I488" s="1" t="s">
        <v>14</v>
      </c>
      <c r="J488" s="1" t="s">
        <v>3684</v>
      </c>
      <c r="K488" s="17"/>
      <c r="L488" s="54" t="s">
        <v>3685</v>
      </c>
      <c r="M488" s="39"/>
      <c r="N488" s="39"/>
      <c r="O488" s="39"/>
      <c r="P488" s="39"/>
      <c r="Q488" s="39"/>
      <c r="R488" s="39"/>
      <c r="S488" s="39"/>
      <c r="T488" s="39"/>
      <c r="U488" s="39"/>
      <c r="V488" s="39">
        <v>176.24</v>
      </c>
      <c r="W488" s="60" t="s">
        <v>3686</v>
      </c>
    </row>
    <row r="489" spans="1:23" s="79" customFormat="1" ht="63.75" x14ac:dyDescent="0.2">
      <c r="A489" s="1" t="s">
        <v>254</v>
      </c>
      <c r="B489" s="2" t="s">
        <v>32</v>
      </c>
      <c r="C489" s="2" t="s">
        <v>255</v>
      </c>
      <c r="D489" s="2" t="s">
        <v>88</v>
      </c>
      <c r="E489" s="2">
        <v>2022</v>
      </c>
      <c r="F489" s="2" t="s">
        <v>1789</v>
      </c>
      <c r="G489" s="2" t="s">
        <v>3095</v>
      </c>
      <c r="H489" s="2" t="s">
        <v>3092</v>
      </c>
      <c r="I489" s="1" t="s">
        <v>14</v>
      </c>
      <c r="J489" s="1" t="s">
        <v>3687</v>
      </c>
      <c r="K489" s="17"/>
      <c r="L489" s="54" t="s">
        <v>3688</v>
      </c>
      <c r="M489" s="39"/>
      <c r="N489" s="39"/>
      <c r="O489" s="39"/>
      <c r="P489" s="39"/>
      <c r="Q489" s="39"/>
      <c r="R489" s="39"/>
      <c r="S489" s="39"/>
      <c r="T489" s="39"/>
      <c r="U489" s="39"/>
      <c r="V489" s="39">
        <v>174.5</v>
      </c>
      <c r="W489" s="60" t="s">
        <v>3686</v>
      </c>
    </row>
    <row r="490" spans="1:23" s="79" customFormat="1" ht="63.75" x14ac:dyDescent="0.2">
      <c r="A490" s="1" t="s">
        <v>254</v>
      </c>
      <c r="B490" s="2" t="s">
        <v>32</v>
      </c>
      <c r="C490" s="2" t="s">
        <v>255</v>
      </c>
      <c r="D490" s="2" t="s">
        <v>88</v>
      </c>
      <c r="E490" s="2">
        <v>2022</v>
      </c>
      <c r="F490" s="2" t="s">
        <v>1796</v>
      </c>
      <c r="G490" s="2" t="s">
        <v>3095</v>
      </c>
      <c r="H490" s="2" t="s">
        <v>3092</v>
      </c>
      <c r="I490" s="1" t="s">
        <v>14</v>
      </c>
      <c r="J490" s="1" t="s">
        <v>3689</v>
      </c>
      <c r="K490" s="17"/>
      <c r="L490" s="54">
        <v>0.06</v>
      </c>
      <c r="M490" s="39"/>
      <c r="N490" s="39"/>
      <c r="O490" s="39"/>
      <c r="P490" s="39"/>
      <c r="Q490" s="39"/>
      <c r="R490" s="39"/>
      <c r="S490" s="39"/>
      <c r="T490" s="39"/>
      <c r="U490" s="39"/>
      <c r="V490" s="39">
        <v>208.62</v>
      </c>
      <c r="W490" s="60" t="s">
        <v>3686</v>
      </c>
    </row>
    <row r="491" spans="1:23" s="79" customFormat="1" ht="63.75" x14ac:dyDescent="0.2">
      <c r="A491" s="1" t="s">
        <v>2440</v>
      </c>
      <c r="B491" s="2" t="s">
        <v>32</v>
      </c>
      <c r="C491" s="2" t="s">
        <v>2441</v>
      </c>
      <c r="D491" s="2" t="s">
        <v>338</v>
      </c>
      <c r="E491" s="2">
        <v>2022</v>
      </c>
      <c r="F491" s="2" t="s">
        <v>1789</v>
      </c>
      <c r="G491" s="2" t="s">
        <v>3095</v>
      </c>
      <c r="H491" s="2" t="s">
        <v>3092</v>
      </c>
      <c r="I491" s="1" t="s">
        <v>14</v>
      </c>
      <c r="J491" s="1" t="s">
        <v>3690</v>
      </c>
      <c r="K491" s="17"/>
      <c r="L491" s="54">
        <v>0.155</v>
      </c>
      <c r="M491" s="39"/>
      <c r="N491" s="39"/>
      <c r="O491" s="39"/>
      <c r="P491" s="39"/>
      <c r="Q491" s="39"/>
      <c r="R491" s="39"/>
      <c r="S491" s="39"/>
      <c r="T491" s="39"/>
      <c r="U491" s="39"/>
      <c r="V491" s="39">
        <f>42.5*0.8</f>
        <v>34</v>
      </c>
      <c r="W491" s="60" t="s">
        <v>2443</v>
      </c>
    </row>
    <row r="492" spans="1:23" s="79" customFormat="1" ht="63.75" x14ac:dyDescent="0.2">
      <c r="A492" s="1" t="s">
        <v>2440</v>
      </c>
      <c r="B492" s="2" t="s">
        <v>32</v>
      </c>
      <c r="C492" s="2" t="s">
        <v>2441</v>
      </c>
      <c r="D492" s="2" t="s">
        <v>338</v>
      </c>
      <c r="E492" s="2">
        <v>2022</v>
      </c>
      <c r="F492" s="2" t="s">
        <v>1791</v>
      </c>
      <c r="G492" s="2" t="s">
        <v>3095</v>
      </c>
      <c r="H492" s="2" t="s">
        <v>3092</v>
      </c>
      <c r="I492" s="1" t="s">
        <v>14</v>
      </c>
      <c r="J492" s="1" t="s">
        <v>3691</v>
      </c>
      <c r="K492" s="17"/>
      <c r="L492" s="54">
        <v>0.157</v>
      </c>
      <c r="M492" s="39"/>
      <c r="N492" s="39"/>
      <c r="O492" s="39"/>
      <c r="P492" s="39"/>
      <c r="Q492" s="39"/>
      <c r="R492" s="39"/>
      <c r="S492" s="39"/>
      <c r="T492" s="39"/>
      <c r="U492" s="39"/>
      <c r="V492" s="39">
        <f>48*0.8</f>
        <v>38.400000000000006</v>
      </c>
      <c r="W492" s="60" t="s">
        <v>2443</v>
      </c>
    </row>
    <row r="493" spans="1:23" s="79" customFormat="1" ht="63.75" x14ac:dyDescent="0.2">
      <c r="A493" s="1" t="s">
        <v>2440</v>
      </c>
      <c r="B493" s="2" t="s">
        <v>32</v>
      </c>
      <c r="C493" s="2" t="s">
        <v>2441</v>
      </c>
      <c r="D493" s="2" t="s">
        <v>338</v>
      </c>
      <c r="E493" s="2">
        <v>2022</v>
      </c>
      <c r="F493" s="2" t="s">
        <v>311</v>
      </c>
      <c r="G493" s="2" t="s">
        <v>3095</v>
      </c>
      <c r="H493" s="2" t="s">
        <v>3092</v>
      </c>
      <c r="I493" s="1" t="s">
        <v>14</v>
      </c>
      <c r="J493" s="1" t="s">
        <v>3692</v>
      </c>
      <c r="K493" s="17"/>
      <c r="L493" s="54">
        <v>0.15</v>
      </c>
      <c r="M493" s="15"/>
      <c r="N493" s="15"/>
      <c r="O493" s="15"/>
      <c r="P493" s="15"/>
      <c r="Q493" s="15"/>
      <c r="R493" s="15"/>
      <c r="S493" s="15"/>
      <c r="T493" s="6"/>
      <c r="U493" s="15"/>
      <c r="V493" s="15">
        <f>25*0.8</f>
        <v>20</v>
      </c>
      <c r="W493" s="60" t="s">
        <v>2443</v>
      </c>
    </row>
    <row r="494" spans="1:23" s="79" customFormat="1" ht="63.75" x14ac:dyDescent="0.2">
      <c r="A494" s="1" t="s">
        <v>2440</v>
      </c>
      <c r="B494" s="2" t="s">
        <v>32</v>
      </c>
      <c r="C494" s="2" t="s">
        <v>2441</v>
      </c>
      <c r="D494" s="2" t="s">
        <v>338</v>
      </c>
      <c r="E494" s="2">
        <v>2022</v>
      </c>
      <c r="F494" s="2" t="s">
        <v>1794</v>
      </c>
      <c r="G494" s="2" t="s">
        <v>3095</v>
      </c>
      <c r="H494" s="2" t="s">
        <v>3092</v>
      </c>
      <c r="I494" s="1" t="s">
        <v>14</v>
      </c>
      <c r="J494" s="1" t="s">
        <v>3693</v>
      </c>
      <c r="K494" s="17"/>
      <c r="L494" s="54">
        <v>0.13</v>
      </c>
      <c r="M494" s="39"/>
      <c r="N494" s="39"/>
      <c r="O494" s="39"/>
      <c r="P494" s="39"/>
      <c r="Q494" s="39"/>
      <c r="R494" s="39"/>
      <c r="S494" s="39"/>
      <c r="T494" s="14"/>
      <c r="U494" s="39"/>
      <c r="V494" s="39">
        <f>10*0.8</f>
        <v>8</v>
      </c>
      <c r="W494" s="60" t="s">
        <v>2443</v>
      </c>
    </row>
    <row r="495" spans="1:23" s="79" customFormat="1" ht="25.5" x14ac:dyDescent="0.2">
      <c r="A495" s="1" t="s">
        <v>93</v>
      </c>
      <c r="B495" s="2" t="s">
        <v>38</v>
      </c>
      <c r="C495" s="2" t="s">
        <v>94</v>
      </c>
      <c r="D495" s="2" t="s">
        <v>58</v>
      </c>
      <c r="E495" s="2">
        <v>2022</v>
      </c>
      <c r="F495" s="2" t="s">
        <v>1776</v>
      </c>
      <c r="G495" s="2" t="s">
        <v>3095</v>
      </c>
      <c r="H495" s="2" t="s">
        <v>3092</v>
      </c>
      <c r="I495" s="1" t="s">
        <v>14</v>
      </c>
      <c r="J495" s="1" t="s">
        <v>3694</v>
      </c>
      <c r="K495" s="17"/>
      <c r="L495" s="54">
        <v>0.155</v>
      </c>
      <c r="M495" s="39"/>
      <c r="N495" s="39"/>
      <c r="O495" s="39">
        <v>243.66</v>
      </c>
      <c r="P495" s="39"/>
      <c r="Q495" s="39"/>
      <c r="R495" s="39"/>
      <c r="S495" s="39"/>
      <c r="T495" s="14"/>
      <c r="U495" s="39"/>
      <c r="V495" s="39"/>
      <c r="W495" s="60" t="s">
        <v>1681</v>
      </c>
    </row>
    <row r="496" spans="1:23" s="79" customFormat="1" ht="25.5" x14ac:dyDescent="0.2">
      <c r="A496" s="1" t="s">
        <v>93</v>
      </c>
      <c r="B496" s="2" t="s">
        <v>38</v>
      </c>
      <c r="C496" s="2" t="s">
        <v>94</v>
      </c>
      <c r="D496" s="2" t="s">
        <v>58</v>
      </c>
      <c r="E496" s="2">
        <v>2022</v>
      </c>
      <c r="F496" s="2" t="s">
        <v>1779</v>
      </c>
      <c r="G496" s="2" t="s">
        <v>3095</v>
      </c>
      <c r="H496" s="2" t="s">
        <v>3092</v>
      </c>
      <c r="I496" s="1" t="s">
        <v>14</v>
      </c>
      <c r="J496" s="1" t="s">
        <v>3695</v>
      </c>
      <c r="K496" s="17"/>
      <c r="L496" s="54">
        <v>0.19270000000000001</v>
      </c>
      <c r="M496" s="39"/>
      <c r="N496" s="39"/>
      <c r="O496" s="39">
        <v>152.19999999999999</v>
      </c>
      <c r="P496" s="39"/>
      <c r="Q496" s="39"/>
      <c r="R496" s="39"/>
      <c r="S496" s="39"/>
      <c r="T496" s="14"/>
      <c r="U496" s="39"/>
      <c r="V496" s="39"/>
      <c r="W496" s="60"/>
    </row>
    <row r="497" spans="1:23" s="79" customFormat="1" ht="25.5" x14ac:dyDescent="0.2">
      <c r="A497" s="1" t="s">
        <v>93</v>
      </c>
      <c r="B497" s="2" t="s">
        <v>38</v>
      </c>
      <c r="C497" s="2" t="s">
        <v>94</v>
      </c>
      <c r="D497" s="2" t="s">
        <v>58</v>
      </c>
      <c r="E497" s="2">
        <v>2022</v>
      </c>
      <c r="F497" s="2" t="s">
        <v>1781</v>
      </c>
      <c r="G497" s="2" t="s">
        <v>3095</v>
      </c>
      <c r="H497" s="2" t="s">
        <v>3092</v>
      </c>
      <c r="I497" s="1" t="s">
        <v>14</v>
      </c>
      <c r="J497" s="1" t="s">
        <v>3696</v>
      </c>
      <c r="K497" s="17"/>
      <c r="L497" s="54">
        <v>0.21299999999999999</v>
      </c>
      <c r="M497" s="39"/>
      <c r="N497" s="39"/>
      <c r="O497" s="39">
        <v>155.80000000000001</v>
      </c>
      <c r="P497" s="39"/>
      <c r="Q497" s="39"/>
      <c r="R497" s="39"/>
      <c r="S497" s="39"/>
      <c r="T497" s="14"/>
      <c r="U497" s="39"/>
      <c r="V497" s="39"/>
      <c r="W497" s="60"/>
    </row>
    <row r="498" spans="1:23" s="79" customFormat="1" ht="25.5" x14ac:dyDescent="0.2">
      <c r="A498" s="1" t="s">
        <v>93</v>
      </c>
      <c r="B498" s="2" t="s">
        <v>38</v>
      </c>
      <c r="C498" s="2" t="s">
        <v>94</v>
      </c>
      <c r="D498" s="2" t="s">
        <v>58</v>
      </c>
      <c r="E498" s="2">
        <v>2022</v>
      </c>
      <c r="F498" s="2" t="s">
        <v>1783</v>
      </c>
      <c r="G498" s="2" t="s">
        <v>3095</v>
      </c>
      <c r="H498" s="2" t="s">
        <v>3092</v>
      </c>
      <c r="I498" s="1" t="s">
        <v>14</v>
      </c>
      <c r="J498" s="1" t="s">
        <v>3697</v>
      </c>
      <c r="K498" s="17"/>
      <c r="L498" s="54">
        <v>0.20699999999999999</v>
      </c>
      <c r="M498" s="39"/>
      <c r="N498" s="39"/>
      <c r="O498" s="39">
        <v>123.9</v>
      </c>
      <c r="P498" s="39"/>
      <c r="Q498" s="39"/>
      <c r="R498" s="39"/>
      <c r="S498" s="39"/>
      <c r="T498" s="14"/>
      <c r="U498" s="39"/>
      <c r="V498" s="39"/>
      <c r="W498" s="60"/>
    </row>
    <row r="499" spans="1:23" s="79" customFormat="1" ht="38.25" x14ac:dyDescent="0.2">
      <c r="A499" s="1" t="s">
        <v>93</v>
      </c>
      <c r="B499" s="2" t="s">
        <v>38</v>
      </c>
      <c r="C499" s="2" t="s">
        <v>94</v>
      </c>
      <c r="D499" s="2" t="s">
        <v>58</v>
      </c>
      <c r="E499" s="2">
        <v>2022</v>
      </c>
      <c r="F499" s="2" t="s">
        <v>1785</v>
      </c>
      <c r="G499" s="2" t="s">
        <v>3095</v>
      </c>
      <c r="H499" s="2" t="s">
        <v>3092</v>
      </c>
      <c r="I499" s="1" t="s">
        <v>14</v>
      </c>
      <c r="J499" s="1" t="s">
        <v>3698</v>
      </c>
      <c r="K499" s="17"/>
      <c r="L499" s="54">
        <v>0.20599999999999999</v>
      </c>
      <c r="M499" s="39"/>
      <c r="N499" s="39"/>
      <c r="O499" s="39">
        <v>185.31</v>
      </c>
      <c r="P499" s="39"/>
      <c r="Q499" s="39"/>
      <c r="R499" s="39"/>
      <c r="S499" s="39"/>
      <c r="T499" s="14"/>
      <c r="U499" s="39"/>
      <c r="V499" s="39"/>
      <c r="W499" s="60"/>
    </row>
    <row r="500" spans="1:23" s="79" customFormat="1" ht="25.5" x14ac:dyDescent="0.2">
      <c r="A500" s="1" t="s">
        <v>93</v>
      </c>
      <c r="B500" s="2" t="s">
        <v>38</v>
      </c>
      <c r="C500" s="2" t="s">
        <v>94</v>
      </c>
      <c r="D500" s="2" t="s">
        <v>58</v>
      </c>
      <c r="E500" s="2">
        <v>2022</v>
      </c>
      <c r="F500" s="2" t="s">
        <v>1787</v>
      </c>
      <c r="G500" s="2" t="s">
        <v>3095</v>
      </c>
      <c r="H500" s="2" t="s">
        <v>3092</v>
      </c>
      <c r="I500" s="1" t="s">
        <v>14</v>
      </c>
      <c r="J500" s="1" t="s">
        <v>3699</v>
      </c>
      <c r="K500" s="17"/>
      <c r="L500" s="54">
        <v>0.22800000000000001</v>
      </c>
      <c r="M500" s="39"/>
      <c r="N500" s="39"/>
      <c r="O500" s="39">
        <v>139.51</v>
      </c>
      <c r="P500" s="39"/>
      <c r="Q500" s="39"/>
      <c r="R500" s="39"/>
      <c r="S500" s="39"/>
      <c r="T500" s="14"/>
      <c r="U500" s="39"/>
      <c r="V500" s="39"/>
      <c r="W500" s="60"/>
    </row>
    <row r="501" spans="1:23" s="79" customFormat="1" ht="25.5" x14ac:dyDescent="0.2">
      <c r="A501" s="1" t="s">
        <v>93</v>
      </c>
      <c r="B501" s="2" t="s">
        <v>38</v>
      </c>
      <c r="C501" s="2" t="s">
        <v>94</v>
      </c>
      <c r="D501" s="2" t="s">
        <v>58</v>
      </c>
      <c r="E501" s="2">
        <v>2022</v>
      </c>
      <c r="F501" s="2" t="s">
        <v>1789</v>
      </c>
      <c r="G501" s="2" t="s">
        <v>3095</v>
      </c>
      <c r="H501" s="2" t="s">
        <v>3092</v>
      </c>
      <c r="I501" s="1" t="s">
        <v>14</v>
      </c>
      <c r="J501" s="1" t="s">
        <v>3700</v>
      </c>
      <c r="K501" s="17"/>
      <c r="L501" s="54">
        <v>0.17499999999999999</v>
      </c>
      <c r="M501" s="39"/>
      <c r="N501" s="39"/>
      <c r="O501" s="39">
        <v>200.68</v>
      </c>
      <c r="P501" s="39"/>
      <c r="Q501" s="39"/>
      <c r="R501" s="39"/>
      <c r="S501" s="39"/>
      <c r="T501" s="14"/>
      <c r="U501" s="39"/>
      <c r="V501" s="39"/>
      <c r="W501" s="60"/>
    </row>
    <row r="502" spans="1:23" s="79" customFormat="1" ht="25.5" x14ac:dyDescent="0.2">
      <c r="A502" s="1" t="s">
        <v>93</v>
      </c>
      <c r="B502" s="2" t="s">
        <v>38</v>
      </c>
      <c r="C502" s="2" t="s">
        <v>94</v>
      </c>
      <c r="D502" s="2" t="s">
        <v>58</v>
      </c>
      <c r="E502" s="2">
        <v>2022</v>
      </c>
      <c r="F502" s="2" t="s">
        <v>1791</v>
      </c>
      <c r="G502" s="2" t="s">
        <v>3095</v>
      </c>
      <c r="H502" s="2" t="s">
        <v>3092</v>
      </c>
      <c r="I502" s="1" t="s">
        <v>14</v>
      </c>
      <c r="J502" s="1" t="s">
        <v>3701</v>
      </c>
      <c r="K502" s="17"/>
      <c r="L502" s="54">
        <v>0.17399999999999999</v>
      </c>
      <c r="M502" s="39"/>
      <c r="N502" s="39"/>
      <c r="O502" s="39">
        <v>192.25</v>
      </c>
      <c r="P502" s="39"/>
      <c r="Q502" s="39"/>
      <c r="R502" s="39"/>
      <c r="S502" s="39"/>
      <c r="T502" s="14"/>
      <c r="U502" s="39"/>
      <c r="V502" s="39"/>
      <c r="W502" s="60"/>
    </row>
    <row r="503" spans="1:23" s="79" customFormat="1" ht="25.5" x14ac:dyDescent="0.2">
      <c r="A503" s="1" t="s">
        <v>93</v>
      </c>
      <c r="B503" s="2" t="s">
        <v>38</v>
      </c>
      <c r="C503" s="2" t="s">
        <v>94</v>
      </c>
      <c r="D503" s="2" t="s">
        <v>58</v>
      </c>
      <c r="E503" s="2">
        <v>2022</v>
      </c>
      <c r="F503" s="2" t="s">
        <v>311</v>
      </c>
      <c r="G503" s="2" t="s">
        <v>3095</v>
      </c>
      <c r="H503" s="2" t="s">
        <v>3092</v>
      </c>
      <c r="I503" s="1" t="s">
        <v>14</v>
      </c>
      <c r="J503" s="1" t="s">
        <v>3702</v>
      </c>
      <c r="K503" s="17"/>
      <c r="L503" s="54">
        <v>0.19500000000000001</v>
      </c>
      <c r="M503" s="39"/>
      <c r="N503" s="39"/>
      <c r="O503" s="39">
        <v>183.7</v>
      </c>
      <c r="P503" s="39"/>
      <c r="Q503" s="39"/>
      <c r="R503" s="39"/>
      <c r="S503" s="39"/>
      <c r="T503" s="14"/>
      <c r="U503" s="39"/>
      <c r="V503" s="39"/>
      <c r="W503" s="60"/>
    </row>
    <row r="504" spans="1:23" s="79" customFormat="1" ht="25.5" x14ac:dyDescent="0.2">
      <c r="A504" s="1" t="s">
        <v>93</v>
      </c>
      <c r="B504" s="2" t="s">
        <v>38</v>
      </c>
      <c r="C504" s="2" t="s">
        <v>94</v>
      </c>
      <c r="D504" s="2" t="s">
        <v>58</v>
      </c>
      <c r="E504" s="2">
        <v>2022</v>
      </c>
      <c r="F504" s="2" t="s">
        <v>1794</v>
      </c>
      <c r="G504" s="2" t="s">
        <v>3095</v>
      </c>
      <c r="H504" s="2" t="s">
        <v>3092</v>
      </c>
      <c r="I504" s="1" t="s">
        <v>14</v>
      </c>
      <c r="J504" s="1" t="s">
        <v>3703</v>
      </c>
      <c r="K504" s="17"/>
      <c r="L504" s="54" t="s">
        <v>3704</v>
      </c>
      <c r="M504" s="39"/>
      <c r="N504" s="39"/>
      <c r="O504" s="39">
        <v>172.19</v>
      </c>
      <c r="P504" s="39"/>
      <c r="Q504" s="39"/>
      <c r="R504" s="39"/>
      <c r="S504" s="39"/>
      <c r="T504" s="14"/>
      <c r="U504" s="39"/>
      <c r="V504" s="39"/>
      <c r="W504" s="60"/>
    </row>
    <row r="505" spans="1:23" s="79" customFormat="1" ht="25.5" x14ac:dyDescent="0.2">
      <c r="A505" s="1" t="s">
        <v>93</v>
      </c>
      <c r="B505" s="2" t="s">
        <v>38</v>
      </c>
      <c r="C505" s="2" t="s">
        <v>94</v>
      </c>
      <c r="D505" s="2" t="s">
        <v>58</v>
      </c>
      <c r="E505" s="2">
        <v>2022</v>
      </c>
      <c r="F505" s="2" t="s">
        <v>1796</v>
      </c>
      <c r="G505" s="2" t="s">
        <v>3095</v>
      </c>
      <c r="H505" s="2" t="s">
        <v>3092</v>
      </c>
      <c r="I505" s="1" t="s">
        <v>14</v>
      </c>
      <c r="J505" s="1" t="s">
        <v>3705</v>
      </c>
      <c r="K505" s="17"/>
      <c r="L505" s="54">
        <v>0.18</v>
      </c>
      <c r="M505" s="39"/>
      <c r="N505" s="39"/>
      <c r="O505" s="39">
        <v>170.29</v>
      </c>
      <c r="P505" s="39"/>
      <c r="Q505" s="39"/>
      <c r="R505" s="39"/>
      <c r="S505" s="39"/>
      <c r="T505" s="39"/>
      <c r="U505" s="39"/>
      <c r="V505" s="39"/>
      <c r="W505" s="60"/>
    </row>
    <row r="506" spans="1:23" s="79" customFormat="1" ht="25.5" x14ac:dyDescent="0.2">
      <c r="A506" s="1" t="s">
        <v>93</v>
      </c>
      <c r="B506" s="2" t="s">
        <v>38</v>
      </c>
      <c r="C506" s="2" t="s">
        <v>94</v>
      </c>
      <c r="D506" s="2" t="s">
        <v>58</v>
      </c>
      <c r="E506" s="2">
        <v>2022</v>
      </c>
      <c r="F506" s="2" t="s">
        <v>1798</v>
      </c>
      <c r="G506" s="2" t="s">
        <v>3095</v>
      </c>
      <c r="H506" s="2" t="s">
        <v>3092</v>
      </c>
      <c r="I506" s="1" t="s">
        <v>14</v>
      </c>
      <c r="J506" s="1" t="s">
        <v>3706</v>
      </c>
      <c r="K506" s="17"/>
      <c r="L506" s="54">
        <v>0.17399999999999999</v>
      </c>
      <c r="M506" s="39"/>
      <c r="N506" s="39"/>
      <c r="O506" s="39">
        <v>173.85</v>
      </c>
      <c r="P506" s="39"/>
      <c r="Q506" s="39"/>
      <c r="R506" s="39"/>
      <c r="S506" s="39"/>
      <c r="T506" s="39"/>
      <c r="U506" s="39"/>
      <c r="V506" s="39"/>
      <c r="W506" s="60"/>
    </row>
    <row r="507" spans="1:23" s="79" customFormat="1" ht="51" x14ac:dyDescent="0.2">
      <c r="A507" s="1" t="s">
        <v>2463</v>
      </c>
      <c r="B507" s="2" t="s">
        <v>308</v>
      </c>
      <c r="C507" s="2" t="s">
        <v>2464</v>
      </c>
      <c r="D507" s="2" t="s">
        <v>71</v>
      </c>
      <c r="E507" s="2">
        <v>2022</v>
      </c>
      <c r="F507" s="2" t="s">
        <v>1785</v>
      </c>
      <c r="G507" s="2" t="s">
        <v>3092</v>
      </c>
      <c r="H507" s="2" t="s">
        <v>3092</v>
      </c>
      <c r="I507" s="1" t="s">
        <v>3707</v>
      </c>
      <c r="J507" s="1" t="s">
        <v>3708</v>
      </c>
      <c r="K507" s="17"/>
      <c r="L507" s="54" t="s">
        <v>1670</v>
      </c>
      <c r="M507" s="39">
        <v>135</v>
      </c>
      <c r="N507" s="39"/>
      <c r="O507" s="39"/>
      <c r="P507" s="39"/>
      <c r="Q507" s="39"/>
      <c r="R507" s="39"/>
      <c r="S507" s="39"/>
      <c r="T507" s="39"/>
      <c r="U507" s="39"/>
      <c r="V507" s="39"/>
      <c r="W507" s="60" t="s">
        <v>1699</v>
      </c>
    </row>
    <row r="508" spans="1:23" s="79" customFormat="1" ht="38.25" x14ac:dyDescent="0.2">
      <c r="A508" s="1" t="s">
        <v>2463</v>
      </c>
      <c r="B508" s="2" t="s">
        <v>308</v>
      </c>
      <c r="C508" s="2" t="s">
        <v>2464</v>
      </c>
      <c r="D508" s="2" t="s">
        <v>71</v>
      </c>
      <c r="E508" s="2">
        <v>2022</v>
      </c>
      <c r="F508" s="2" t="s">
        <v>311</v>
      </c>
      <c r="G508" s="2" t="s">
        <v>3092</v>
      </c>
      <c r="H508" s="2" t="s">
        <v>3092</v>
      </c>
      <c r="I508" s="1" t="s">
        <v>3709</v>
      </c>
      <c r="J508" s="1" t="s">
        <v>3710</v>
      </c>
      <c r="K508" s="17"/>
      <c r="L508" s="54" t="s">
        <v>1670</v>
      </c>
      <c r="M508" s="39">
        <v>135</v>
      </c>
      <c r="N508" s="39"/>
      <c r="O508" s="39"/>
      <c r="P508" s="39"/>
      <c r="Q508" s="39"/>
      <c r="R508" s="39"/>
      <c r="S508" s="39"/>
      <c r="T508" s="39"/>
      <c r="U508" s="39"/>
      <c r="V508" s="39"/>
      <c r="W508" s="60" t="s">
        <v>1699</v>
      </c>
    </row>
    <row r="509" spans="1:23" s="79" customFormat="1" ht="140.25" x14ac:dyDescent="0.2">
      <c r="A509" s="1" t="s">
        <v>3711</v>
      </c>
      <c r="B509" s="2" t="s">
        <v>196</v>
      </c>
      <c r="C509" s="2" t="s">
        <v>346</v>
      </c>
      <c r="D509" s="2" t="s">
        <v>346</v>
      </c>
      <c r="E509" s="2">
        <v>2022</v>
      </c>
      <c r="F509" s="2" t="s">
        <v>1785</v>
      </c>
      <c r="G509" s="2" t="s">
        <v>3092</v>
      </c>
      <c r="H509" s="2" t="s">
        <v>3092</v>
      </c>
      <c r="I509" s="1" t="s">
        <v>3712</v>
      </c>
      <c r="J509" s="1" t="s">
        <v>3713</v>
      </c>
      <c r="K509" s="17"/>
      <c r="L509" s="54"/>
      <c r="M509" s="39"/>
      <c r="N509" s="39"/>
      <c r="O509" s="39"/>
      <c r="P509" s="39"/>
      <c r="Q509" s="39"/>
      <c r="R509" s="39"/>
      <c r="S509" s="39"/>
      <c r="T509" s="39"/>
      <c r="U509" s="39"/>
      <c r="V509" s="39"/>
      <c r="W509" s="60" t="s">
        <v>3714</v>
      </c>
    </row>
    <row r="510" spans="1:23" s="79" customFormat="1" ht="409.5" x14ac:dyDescent="0.2">
      <c r="A510" s="1" t="s">
        <v>3711</v>
      </c>
      <c r="B510" s="2" t="s">
        <v>196</v>
      </c>
      <c r="C510" s="2" t="s">
        <v>346</v>
      </c>
      <c r="D510" s="2" t="s">
        <v>346</v>
      </c>
      <c r="E510" s="2">
        <v>2022</v>
      </c>
      <c r="F510" s="2" t="s">
        <v>1787</v>
      </c>
      <c r="G510" s="2" t="s">
        <v>3092</v>
      </c>
      <c r="H510" s="2" t="s">
        <v>3092</v>
      </c>
      <c r="I510" s="1" t="s">
        <v>3715</v>
      </c>
      <c r="J510" s="1" t="s">
        <v>3716</v>
      </c>
      <c r="K510" s="17"/>
      <c r="L510" s="54">
        <v>0.26</v>
      </c>
      <c r="M510" s="39"/>
      <c r="N510" s="39"/>
      <c r="O510" s="39">
        <v>1490.98</v>
      </c>
      <c r="P510" s="39"/>
      <c r="Q510" s="39"/>
      <c r="R510" s="39"/>
      <c r="S510" s="39"/>
      <c r="T510" s="39"/>
      <c r="U510" s="39"/>
      <c r="V510" s="39"/>
      <c r="W510" s="60"/>
    </row>
    <row r="511" spans="1:23" s="79" customFormat="1" ht="114.75" x14ac:dyDescent="0.2">
      <c r="A511" s="1" t="s">
        <v>1169</v>
      </c>
      <c r="B511" s="2" t="s">
        <v>196</v>
      </c>
      <c r="C511" s="2" t="s">
        <v>1170</v>
      </c>
      <c r="D511" s="2" t="s">
        <v>473</v>
      </c>
      <c r="E511" s="2">
        <v>2022</v>
      </c>
      <c r="F511" s="2" t="s">
        <v>1794</v>
      </c>
      <c r="G511" s="2" t="s">
        <v>3092</v>
      </c>
      <c r="H511" s="2" t="s">
        <v>3092</v>
      </c>
      <c r="I511" s="1" t="s">
        <v>3717</v>
      </c>
      <c r="J511" s="1" t="s">
        <v>3718</v>
      </c>
      <c r="K511" s="17"/>
      <c r="L511" s="54">
        <v>0.30199999999999999</v>
      </c>
      <c r="M511" s="39"/>
      <c r="N511" s="39"/>
      <c r="O511" s="39">
        <f>(156.53/0.2432)+(113.45/0.363)</f>
        <v>956.16107999855012</v>
      </c>
      <c r="P511" s="39"/>
      <c r="Q511" s="39"/>
      <c r="R511" s="39"/>
      <c r="S511" s="39"/>
      <c r="T511" s="39"/>
      <c r="U511" s="39"/>
      <c r="V511" s="39"/>
      <c r="W511" s="60"/>
    </row>
    <row r="512" spans="1:23" s="79" customFormat="1" ht="114.75" x14ac:dyDescent="0.2">
      <c r="A512" s="1" t="s">
        <v>95</v>
      </c>
      <c r="B512" s="2" t="s">
        <v>24</v>
      </c>
      <c r="C512" s="2" t="s">
        <v>96</v>
      </c>
      <c r="D512" s="2" t="s">
        <v>97</v>
      </c>
      <c r="E512" s="2">
        <v>2022</v>
      </c>
      <c r="F512" s="2" t="s">
        <v>1776</v>
      </c>
      <c r="G512" s="2" t="s">
        <v>3093</v>
      </c>
      <c r="H512" s="2" t="s">
        <v>3092</v>
      </c>
      <c r="I512" s="1" t="s">
        <v>14</v>
      </c>
      <c r="J512" s="1" t="s">
        <v>3719</v>
      </c>
      <c r="K512" s="17"/>
      <c r="L512" s="54">
        <v>0.2</v>
      </c>
      <c r="M512" s="39"/>
      <c r="N512" s="39"/>
      <c r="O512" s="39"/>
      <c r="P512" s="39"/>
      <c r="Q512" s="39"/>
      <c r="R512" s="39"/>
      <c r="S512" s="39"/>
      <c r="T512" s="39">
        <f>(38851*0.0382)/L512</f>
        <v>7420.5409999999993</v>
      </c>
      <c r="U512" s="39"/>
      <c r="V512" s="39"/>
      <c r="W512" s="60" t="s">
        <v>1765</v>
      </c>
    </row>
    <row r="513" spans="1:23" s="79" customFormat="1" ht="114.75" x14ac:dyDescent="0.2">
      <c r="A513" s="1" t="s">
        <v>95</v>
      </c>
      <c r="B513" s="2" t="s">
        <v>24</v>
      </c>
      <c r="C513" s="2" t="s">
        <v>96</v>
      </c>
      <c r="D513" s="2" t="s">
        <v>97</v>
      </c>
      <c r="E513" s="2">
        <v>2022</v>
      </c>
      <c r="F513" s="2" t="s">
        <v>1779</v>
      </c>
      <c r="G513" s="2" t="s">
        <v>3093</v>
      </c>
      <c r="H513" s="2" t="s">
        <v>3092</v>
      </c>
      <c r="I513" s="1" t="s">
        <v>14</v>
      </c>
      <c r="J513" s="1" t="s">
        <v>3720</v>
      </c>
      <c r="K513" s="17"/>
      <c r="L513" s="54">
        <v>0.2</v>
      </c>
      <c r="M513" s="39"/>
      <c r="N513" s="39"/>
      <c r="O513" s="39"/>
      <c r="P513" s="39"/>
      <c r="Q513" s="39"/>
      <c r="R513" s="39"/>
      <c r="S513" s="39"/>
      <c r="T513" s="39">
        <f>(40126*0.042)/L513</f>
        <v>8426.4600000000009</v>
      </c>
      <c r="U513" s="39"/>
      <c r="V513" s="39"/>
      <c r="W513" s="60" t="s">
        <v>1765</v>
      </c>
    </row>
    <row r="514" spans="1:23" s="79" customFormat="1" ht="114.75" x14ac:dyDescent="0.2">
      <c r="A514" s="1" t="s">
        <v>95</v>
      </c>
      <c r="B514" s="2" t="s">
        <v>24</v>
      </c>
      <c r="C514" s="2" t="s">
        <v>96</v>
      </c>
      <c r="D514" s="2" t="s">
        <v>97</v>
      </c>
      <c r="E514" s="2">
        <v>2022</v>
      </c>
      <c r="F514" s="2" t="s">
        <v>1781</v>
      </c>
      <c r="G514" s="2" t="s">
        <v>3093</v>
      </c>
      <c r="H514" s="2" t="s">
        <v>3092</v>
      </c>
      <c r="I514" s="1" t="s">
        <v>14</v>
      </c>
      <c r="J514" s="1" t="s">
        <v>3721</v>
      </c>
      <c r="K514" s="17"/>
      <c r="L514" s="54">
        <v>0.2</v>
      </c>
      <c r="M514" s="39"/>
      <c r="N514" s="39"/>
      <c r="O514" s="39"/>
      <c r="P514" s="39"/>
      <c r="Q514" s="39"/>
      <c r="R514" s="39"/>
      <c r="S514" s="39"/>
      <c r="T514" s="39">
        <f>(45535*0.0471)/L514</f>
        <v>10723.492499999998</v>
      </c>
      <c r="U514" s="39"/>
      <c r="V514" s="39"/>
      <c r="W514" s="60" t="s">
        <v>1765</v>
      </c>
    </row>
    <row r="515" spans="1:23" s="79" customFormat="1" ht="102" x14ac:dyDescent="0.2">
      <c r="A515" s="1" t="s">
        <v>95</v>
      </c>
      <c r="B515" s="2" t="s">
        <v>24</v>
      </c>
      <c r="C515" s="2" t="s">
        <v>96</v>
      </c>
      <c r="D515" s="2" t="s">
        <v>97</v>
      </c>
      <c r="E515" s="2">
        <v>2022</v>
      </c>
      <c r="F515" s="2" t="s">
        <v>1783</v>
      </c>
      <c r="G515" s="2" t="s">
        <v>3093</v>
      </c>
      <c r="H515" s="2" t="s">
        <v>3092</v>
      </c>
      <c r="I515" s="1" t="s">
        <v>14</v>
      </c>
      <c r="J515" s="1" t="s">
        <v>3722</v>
      </c>
      <c r="K515" s="17"/>
      <c r="L515" s="54">
        <v>0.2</v>
      </c>
      <c r="M515" s="39"/>
      <c r="N515" s="39"/>
      <c r="O515" s="39"/>
      <c r="P515" s="39"/>
      <c r="Q515" s="39"/>
      <c r="R515" s="39"/>
      <c r="S515" s="39"/>
      <c r="T515" s="39">
        <f>(38920*0.0425)/L515</f>
        <v>8270.5</v>
      </c>
      <c r="U515" s="39"/>
      <c r="V515" s="39"/>
      <c r="W515" s="60" t="s">
        <v>1765</v>
      </c>
    </row>
    <row r="516" spans="1:23" s="79" customFormat="1" ht="102" x14ac:dyDescent="0.2">
      <c r="A516" s="1" t="s">
        <v>95</v>
      </c>
      <c r="B516" s="2" t="s">
        <v>24</v>
      </c>
      <c r="C516" s="2" t="s">
        <v>96</v>
      </c>
      <c r="D516" s="2" t="s">
        <v>97</v>
      </c>
      <c r="E516" s="2">
        <v>2022</v>
      </c>
      <c r="F516" s="2" t="s">
        <v>1785</v>
      </c>
      <c r="G516" s="2" t="s">
        <v>3093</v>
      </c>
      <c r="H516" s="2" t="s">
        <v>3092</v>
      </c>
      <c r="I516" s="1" t="s">
        <v>14</v>
      </c>
      <c r="J516" s="1" t="s">
        <v>3723</v>
      </c>
      <c r="K516" s="17"/>
      <c r="L516" s="54">
        <v>0.2</v>
      </c>
      <c r="M516" s="39"/>
      <c r="N516" s="39"/>
      <c r="O516" s="39"/>
      <c r="P516" s="39"/>
      <c r="Q516" s="39"/>
      <c r="R516" s="39"/>
      <c r="S516" s="39"/>
      <c r="T516" s="39">
        <f>(51108*0.0402)/L516</f>
        <v>10272.707999999999</v>
      </c>
      <c r="U516" s="39"/>
      <c r="V516" s="39"/>
      <c r="W516" s="60" t="s">
        <v>1765</v>
      </c>
    </row>
    <row r="517" spans="1:23" s="79" customFormat="1" ht="114.75" x14ac:dyDescent="0.2">
      <c r="A517" s="1" t="s">
        <v>95</v>
      </c>
      <c r="B517" s="2" t="s">
        <v>24</v>
      </c>
      <c r="C517" s="2" t="s">
        <v>96</v>
      </c>
      <c r="D517" s="2" t="s">
        <v>97</v>
      </c>
      <c r="E517" s="2">
        <v>2022</v>
      </c>
      <c r="F517" s="2" t="s">
        <v>1787</v>
      </c>
      <c r="G517" s="2" t="s">
        <v>3093</v>
      </c>
      <c r="H517" s="2" t="s">
        <v>3092</v>
      </c>
      <c r="I517" s="1" t="s">
        <v>14</v>
      </c>
      <c r="J517" s="1" t="s">
        <v>3724</v>
      </c>
      <c r="K517" s="17"/>
      <c r="L517" s="54">
        <v>0.2</v>
      </c>
      <c r="M517" s="39"/>
      <c r="N517" s="39"/>
      <c r="O517" s="39"/>
      <c r="P517" s="39"/>
      <c r="Q517" s="39"/>
      <c r="R517" s="39"/>
      <c r="S517" s="39"/>
      <c r="T517" s="39">
        <f>(44359*0.0418)/L517</f>
        <v>9271.030999999999</v>
      </c>
      <c r="U517" s="39"/>
      <c r="V517" s="39"/>
      <c r="W517" s="60" t="s">
        <v>1765</v>
      </c>
    </row>
    <row r="518" spans="1:23" s="79" customFormat="1" ht="102" x14ac:dyDescent="0.2">
      <c r="A518" s="1" t="s">
        <v>95</v>
      </c>
      <c r="B518" s="2" t="s">
        <v>24</v>
      </c>
      <c r="C518" s="2" t="s">
        <v>96</v>
      </c>
      <c r="D518" s="2" t="s">
        <v>97</v>
      </c>
      <c r="E518" s="2">
        <v>2022</v>
      </c>
      <c r="F518" s="2" t="s">
        <v>1789</v>
      </c>
      <c r="G518" s="2" t="s">
        <v>3093</v>
      </c>
      <c r="H518" s="2" t="s">
        <v>3092</v>
      </c>
      <c r="I518" s="1" t="s">
        <v>14</v>
      </c>
      <c r="J518" s="1" t="s">
        <v>3725</v>
      </c>
      <c r="K518" s="17"/>
      <c r="L518" s="54">
        <v>0.2</v>
      </c>
      <c r="M518" s="39"/>
      <c r="N518" s="39"/>
      <c r="O518" s="39"/>
      <c r="P518" s="39"/>
      <c r="Q518" s="39"/>
      <c r="R518" s="39"/>
      <c r="S518" s="39"/>
      <c r="T518" s="39">
        <f>(41558*0.0449)/L518</f>
        <v>9329.7710000000006</v>
      </c>
      <c r="U518" s="39"/>
      <c r="V518" s="39"/>
      <c r="W518" s="60" t="s">
        <v>1765</v>
      </c>
    </row>
    <row r="519" spans="1:23" s="79" customFormat="1" ht="102" x14ac:dyDescent="0.2">
      <c r="A519" s="1" t="s">
        <v>95</v>
      </c>
      <c r="B519" s="2" t="s">
        <v>24</v>
      </c>
      <c r="C519" s="2" t="s">
        <v>96</v>
      </c>
      <c r="D519" s="2" t="s">
        <v>97</v>
      </c>
      <c r="E519" s="2">
        <v>2022</v>
      </c>
      <c r="F519" s="2" t="s">
        <v>1791</v>
      </c>
      <c r="G519" s="2" t="s">
        <v>3093</v>
      </c>
      <c r="H519" s="2" t="s">
        <v>3092</v>
      </c>
      <c r="I519" s="1" t="s">
        <v>14</v>
      </c>
      <c r="J519" s="1" t="s">
        <v>3726</v>
      </c>
      <c r="K519" s="17"/>
      <c r="L519" s="54">
        <v>0.2</v>
      </c>
      <c r="M519" s="39"/>
      <c r="N519" s="39"/>
      <c r="O519" s="39"/>
      <c r="P519" s="39"/>
      <c r="Q519" s="39"/>
      <c r="R519" s="39"/>
      <c r="S519" s="39"/>
      <c r="T519" s="39">
        <f>(34514*0.0513)/L519</f>
        <v>8852.8409999999985</v>
      </c>
      <c r="U519" s="39"/>
      <c r="V519" s="39"/>
      <c r="W519" s="60" t="s">
        <v>1765</v>
      </c>
    </row>
    <row r="520" spans="1:23" s="79" customFormat="1" ht="102" x14ac:dyDescent="0.2">
      <c r="A520" s="1" t="s">
        <v>95</v>
      </c>
      <c r="B520" s="2" t="s">
        <v>24</v>
      </c>
      <c r="C520" s="2" t="s">
        <v>96</v>
      </c>
      <c r="D520" s="2" t="s">
        <v>97</v>
      </c>
      <c r="E520" s="2">
        <v>2022</v>
      </c>
      <c r="F520" s="2" t="s">
        <v>311</v>
      </c>
      <c r="G520" s="2" t="s">
        <v>3093</v>
      </c>
      <c r="H520" s="2" t="s">
        <v>3092</v>
      </c>
      <c r="I520" s="1" t="s">
        <v>14</v>
      </c>
      <c r="J520" s="1" t="s">
        <v>3727</v>
      </c>
      <c r="K520" s="17"/>
      <c r="L520" s="54">
        <v>0.2</v>
      </c>
      <c r="M520" s="39"/>
      <c r="N520" s="39"/>
      <c r="O520" s="39"/>
      <c r="P520" s="39"/>
      <c r="Q520" s="39"/>
      <c r="R520" s="39"/>
      <c r="S520" s="39"/>
      <c r="T520" s="39">
        <f>(38273*0.045)/L520</f>
        <v>8611.4249999999993</v>
      </c>
      <c r="U520" s="39"/>
      <c r="V520" s="39"/>
      <c r="W520" s="60" t="s">
        <v>1765</v>
      </c>
    </row>
    <row r="521" spans="1:23" s="79" customFormat="1" ht="102" x14ac:dyDescent="0.2">
      <c r="A521" s="1" t="s">
        <v>95</v>
      </c>
      <c r="B521" s="2" t="s">
        <v>24</v>
      </c>
      <c r="C521" s="2" t="s">
        <v>96</v>
      </c>
      <c r="D521" s="2" t="s">
        <v>97</v>
      </c>
      <c r="E521" s="2">
        <v>2022</v>
      </c>
      <c r="F521" s="2" t="s">
        <v>1794</v>
      </c>
      <c r="G521" s="2" t="s">
        <v>3093</v>
      </c>
      <c r="H521" s="2" t="s">
        <v>3092</v>
      </c>
      <c r="I521" s="1" t="s">
        <v>14</v>
      </c>
      <c r="J521" s="1" t="s">
        <v>3728</v>
      </c>
      <c r="K521" s="17"/>
      <c r="L521" s="54">
        <v>0.2</v>
      </c>
      <c r="M521" s="39"/>
      <c r="N521" s="39"/>
      <c r="O521" s="39"/>
      <c r="P521" s="39"/>
      <c r="Q521" s="39"/>
      <c r="R521" s="39"/>
      <c r="S521" s="39"/>
      <c r="T521" s="39">
        <f>(39643*0.047)/L521</f>
        <v>9316.1049999999996</v>
      </c>
      <c r="U521" s="39"/>
      <c r="V521" s="39"/>
      <c r="W521" s="60" t="s">
        <v>1765</v>
      </c>
    </row>
    <row r="522" spans="1:23" s="79" customFormat="1" ht="102" x14ac:dyDescent="0.2">
      <c r="A522" s="1" t="s">
        <v>95</v>
      </c>
      <c r="B522" s="2" t="s">
        <v>24</v>
      </c>
      <c r="C522" s="2" t="s">
        <v>96</v>
      </c>
      <c r="D522" s="2" t="s">
        <v>97</v>
      </c>
      <c r="E522" s="2">
        <v>2022</v>
      </c>
      <c r="F522" s="2" t="s">
        <v>1796</v>
      </c>
      <c r="G522" s="2" t="s">
        <v>3093</v>
      </c>
      <c r="H522" s="2" t="s">
        <v>3092</v>
      </c>
      <c r="I522" s="1" t="s">
        <v>14</v>
      </c>
      <c r="J522" s="1" t="s">
        <v>3729</v>
      </c>
      <c r="K522" s="17"/>
      <c r="L522" s="54">
        <v>0.2</v>
      </c>
      <c r="M522" s="39"/>
      <c r="N522" s="39"/>
      <c r="O522" s="39"/>
      <c r="P522" s="39"/>
      <c r="Q522" s="39"/>
      <c r="R522" s="39"/>
      <c r="S522" s="39"/>
      <c r="T522" s="39">
        <f>(39698*0.0433)/L522</f>
        <v>8594.6169999999984</v>
      </c>
      <c r="U522" s="39"/>
      <c r="V522" s="39"/>
      <c r="W522" s="60" t="s">
        <v>1765</v>
      </c>
    </row>
    <row r="523" spans="1:23" s="79" customFormat="1" ht="114.75" x14ac:dyDescent="0.2">
      <c r="A523" s="1" t="s">
        <v>95</v>
      </c>
      <c r="B523" s="2" t="s">
        <v>24</v>
      </c>
      <c r="C523" s="2" t="s">
        <v>96</v>
      </c>
      <c r="D523" s="2" t="s">
        <v>97</v>
      </c>
      <c r="E523" s="2">
        <v>2022</v>
      </c>
      <c r="F523" s="2" t="s">
        <v>1798</v>
      </c>
      <c r="G523" s="2" t="s">
        <v>3093</v>
      </c>
      <c r="H523" s="2" t="s">
        <v>3092</v>
      </c>
      <c r="I523" s="1" t="s">
        <v>14</v>
      </c>
      <c r="J523" s="1" t="s">
        <v>3730</v>
      </c>
      <c r="K523" s="17"/>
      <c r="L523" s="54">
        <v>0.2</v>
      </c>
      <c r="M523" s="39"/>
      <c r="N523" s="39"/>
      <c r="O523" s="39"/>
      <c r="P523" s="39"/>
      <c r="Q523" s="39"/>
      <c r="R523" s="39"/>
      <c r="S523" s="39"/>
      <c r="T523" s="39">
        <f>(44359*0.0418)/L523</f>
        <v>9271.030999999999</v>
      </c>
      <c r="U523" s="39"/>
      <c r="V523" s="39"/>
      <c r="W523" s="60" t="s">
        <v>1765</v>
      </c>
    </row>
    <row r="524" spans="1:23" s="79" customFormat="1" ht="102" x14ac:dyDescent="0.2">
      <c r="A524" s="1" t="s">
        <v>103</v>
      </c>
      <c r="B524" s="2" t="s">
        <v>24</v>
      </c>
      <c r="C524" s="2" t="s">
        <v>96</v>
      </c>
      <c r="D524" s="2" t="s">
        <v>97</v>
      </c>
      <c r="E524" s="2">
        <v>2022</v>
      </c>
      <c r="F524" s="2" t="s">
        <v>1776</v>
      </c>
      <c r="G524" s="2" t="s">
        <v>3093</v>
      </c>
      <c r="H524" s="2" t="s">
        <v>3092</v>
      </c>
      <c r="I524" s="1" t="s">
        <v>14</v>
      </c>
      <c r="J524" s="1" t="s">
        <v>3731</v>
      </c>
      <c r="K524" s="17"/>
      <c r="L524" s="54"/>
      <c r="M524" s="39"/>
      <c r="N524" s="39"/>
      <c r="O524" s="39"/>
      <c r="P524" s="39"/>
      <c r="Q524" s="39"/>
      <c r="R524" s="39"/>
      <c r="S524" s="39"/>
      <c r="T524" s="39"/>
      <c r="U524" s="39"/>
      <c r="V524" s="39"/>
      <c r="W524" s="60" t="s">
        <v>3732</v>
      </c>
    </row>
    <row r="525" spans="1:23" s="79" customFormat="1" ht="102" x14ac:dyDescent="0.2">
      <c r="A525" s="1" t="s">
        <v>103</v>
      </c>
      <c r="B525" s="2" t="s">
        <v>24</v>
      </c>
      <c r="C525" s="2" t="s">
        <v>96</v>
      </c>
      <c r="D525" s="2" t="s">
        <v>97</v>
      </c>
      <c r="E525" s="2">
        <v>2022</v>
      </c>
      <c r="F525" s="2" t="s">
        <v>1779</v>
      </c>
      <c r="G525" s="2" t="s">
        <v>3093</v>
      </c>
      <c r="H525" s="2" t="s">
        <v>3092</v>
      </c>
      <c r="I525" s="1" t="s">
        <v>14</v>
      </c>
      <c r="J525" s="1" t="s">
        <v>3733</v>
      </c>
      <c r="K525" s="17"/>
      <c r="L525" s="54"/>
      <c r="M525" s="39"/>
      <c r="N525" s="39"/>
      <c r="O525" s="39"/>
      <c r="P525" s="39"/>
      <c r="Q525" s="39"/>
      <c r="R525" s="39"/>
      <c r="S525" s="39"/>
      <c r="T525" s="39"/>
      <c r="U525" s="39"/>
      <c r="V525" s="39"/>
      <c r="W525" s="60" t="s">
        <v>3732</v>
      </c>
    </row>
    <row r="526" spans="1:23" s="79" customFormat="1" ht="102" x14ac:dyDescent="0.2">
      <c r="A526" s="1" t="s">
        <v>103</v>
      </c>
      <c r="B526" s="2" t="s">
        <v>24</v>
      </c>
      <c r="C526" s="2" t="s">
        <v>96</v>
      </c>
      <c r="D526" s="2" t="s">
        <v>97</v>
      </c>
      <c r="E526" s="2">
        <v>2022</v>
      </c>
      <c r="F526" s="2" t="s">
        <v>1781</v>
      </c>
      <c r="G526" s="2" t="s">
        <v>3093</v>
      </c>
      <c r="H526" s="2" t="s">
        <v>3092</v>
      </c>
      <c r="I526" s="1" t="s">
        <v>14</v>
      </c>
      <c r="J526" s="1" t="s">
        <v>3734</v>
      </c>
      <c r="K526" s="17"/>
      <c r="L526" s="54"/>
      <c r="M526" s="39"/>
      <c r="N526" s="39"/>
      <c r="O526" s="39"/>
      <c r="P526" s="39"/>
      <c r="Q526" s="39"/>
      <c r="R526" s="39"/>
      <c r="S526" s="39"/>
      <c r="T526" s="39"/>
      <c r="U526" s="39"/>
      <c r="V526" s="39"/>
      <c r="W526" s="60" t="s">
        <v>3732</v>
      </c>
    </row>
    <row r="527" spans="1:23" s="79" customFormat="1" ht="127.5" x14ac:dyDescent="0.2">
      <c r="A527" s="1" t="s">
        <v>103</v>
      </c>
      <c r="B527" s="2" t="s">
        <v>24</v>
      </c>
      <c r="C527" s="2" t="s">
        <v>96</v>
      </c>
      <c r="D527" s="2" t="s">
        <v>97</v>
      </c>
      <c r="E527" s="2">
        <v>2022</v>
      </c>
      <c r="F527" s="2" t="s">
        <v>1783</v>
      </c>
      <c r="G527" s="2" t="s">
        <v>3093</v>
      </c>
      <c r="H527" s="2" t="s">
        <v>3092</v>
      </c>
      <c r="I527" s="1" t="s">
        <v>14</v>
      </c>
      <c r="J527" s="1" t="s">
        <v>3735</v>
      </c>
      <c r="K527" s="17"/>
      <c r="L527" s="54"/>
      <c r="M527" s="39"/>
      <c r="N527" s="39"/>
      <c r="O527" s="39"/>
      <c r="P527" s="39"/>
      <c r="Q527" s="39"/>
      <c r="R527" s="39"/>
      <c r="S527" s="39"/>
      <c r="T527" s="39"/>
      <c r="U527" s="39"/>
      <c r="V527" s="39"/>
      <c r="W527" s="60" t="s">
        <v>3732</v>
      </c>
    </row>
    <row r="528" spans="1:23" s="79" customFormat="1" ht="102" x14ac:dyDescent="0.2">
      <c r="A528" s="1" t="s">
        <v>103</v>
      </c>
      <c r="B528" s="2" t="s">
        <v>24</v>
      </c>
      <c r="C528" s="2" t="s">
        <v>96</v>
      </c>
      <c r="D528" s="2" t="s">
        <v>97</v>
      </c>
      <c r="E528" s="2">
        <v>2022</v>
      </c>
      <c r="F528" s="2" t="s">
        <v>1785</v>
      </c>
      <c r="G528" s="2" t="s">
        <v>3093</v>
      </c>
      <c r="H528" s="2" t="s">
        <v>3092</v>
      </c>
      <c r="I528" s="1" t="s">
        <v>14</v>
      </c>
      <c r="J528" s="1" t="s">
        <v>3723</v>
      </c>
      <c r="K528" s="17"/>
      <c r="L528" s="54"/>
      <c r="M528" s="39"/>
      <c r="N528" s="39"/>
      <c r="O528" s="39"/>
      <c r="P528" s="39"/>
      <c r="Q528" s="39"/>
      <c r="R528" s="39"/>
      <c r="S528" s="39"/>
      <c r="T528" s="39"/>
      <c r="U528" s="39"/>
      <c r="V528" s="39"/>
      <c r="W528" s="60" t="s">
        <v>3732</v>
      </c>
    </row>
    <row r="529" spans="1:23" s="79" customFormat="1" ht="102" x14ac:dyDescent="0.2">
      <c r="A529" s="1" t="s">
        <v>103</v>
      </c>
      <c r="B529" s="2" t="s">
        <v>24</v>
      </c>
      <c r="C529" s="2" t="s">
        <v>96</v>
      </c>
      <c r="D529" s="2" t="s">
        <v>97</v>
      </c>
      <c r="E529" s="2">
        <v>2022</v>
      </c>
      <c r="F529" s="2" t="s">
        <v>1787</v>
      </c>
      <c r="G529" s="2" t="s">
        <v>3093</v>
      </c>
      <c r="H529" s="2" t="s">
        <v>3092</v>
      </c>
      <c r="I529" s="1" t="s">
        <v>14</v>
      </c>
      <c r="J529" s="1" t="s">
        <v>3736</v>
      </c>
      <c r="K529" s="17"/>
      <c r="L529" s="54"/>
      <c r="M529" s="39"/>
      <c r="N529" s="39"/>
      <c r="O529" s="39"/>
      <c r="P529" s="39"/>
      <c r="Q529" s="39"/>
      <c r="R529" s="39"/>
      <c r="S529" s="39"/>
      <c r="T529" s="39"/>
      <c r="U529" s="39"/>
      <c r="V529" s="39"/>
      <c r="W529" s="60" t="s">
        <v>3732</v>
      </c>
    </row>
    <row r="530" spans="1:23" s="79" customFormat="1" ht="102" x14ac:dyDescent="0.2">
      <c r="A530" s="1" t="s">
        <v>103</v>
      </c>
      <c r="B530" s="2" t="s">
        <v>24</v>
      </c>
      <c r="C530" s="2" t="s">
        <v>96</v>
      </c>
      <c r="D530" s="2" t="s">
        <v>97</v>
      </c>
      <c r="E530" s="2">
        <v>2022</v>
      </c>
      <c r="F530" s="2" t="s">
        <v>1789</v>
      </c>
      <c r="G530" s="2" t="s">
        <v>3093</v>
      </c>
      <c r="H530" s="2" t="s">
        <v>3092</v>
      </c>
      <c r="I530" s="1" t="s">
        <v>14</v>
      </c>
      <c r="J530" s="1" t="s">
        <v>3725</v>
      </c>
      <c r="K530" s="17"/>
      <c r="L530" s="54"/>
      <c r="M530" s="39"/>
      <c r="N530" s="39"/>
      <c r="O530" s="39"/>
      <c r="P530" s="39"/>
      <c r="Q530" s="39"/>
      <c r="R530" s="39"/>
      <c r="S530" s="39"/>
      <c r="T530" s="39"/>
      <c r="U530" s="39"/>
      <c r="V530" s="39"/>
      <c r="W530" s="60" t="s">
        <v>3732</v>
      </c>
    </row>
    <row r="531" spans="1:23" s="79" customFormat="1" ht="102" x14ac:dyDescent="0.2">
      <c r="A531" s="1" t="s">
        <v>103</v>
      </c>
      <c r="B531" s="2" t="s">
        <v>24</v>
      </c>
      <c r="C531" s="2" t="s">
        <v>96</v>
      </c>
      <c r="D531" s="2" t="s">
        <v>97</v>
      </c>
      <c r="E531" s="2">
        <v>2022</v>
      </c>
      <c r="F531" s="2" t="s">
        <v>1791</v>
      </c>
      <c r="G531" s="2" t="s">
        <v>3093</v>
      </c>
      <c r="H531" s="2" t="s">
        <v>3092</v>
      </c>
      <c r="I531" s="1" t="s">
        <v>14</v>
      </c>
      <c r="J531" s="1" t="s">
        <v>3726</v>
      </c>
      <c r="K531" s="17"/>
      <c r="L531" s="54"/>
      <c r="M531" s="39"/>
      <c r="N531" s="39"/>
      <c r="O531" s="39"/>
      <c r="P531" s="39"/>
      <c r="Q531" s="39"/>
      <c r="R531" s="39"/>
      <c r="S531" s="39"/>
      <c r="T531" s="39"/>
      <c r="U531" s="39"/>
      <c r="V531" s="39"/>
      <c r="W531" s="60" t="s">
        <v>3732</v>
      </c>
    </row>
    <row r="532" spans="1:23" s="79" customFormat="1" ht="102" x14ac:dyDescent="0.2">
      <c r="A532" s="1" t="s">
        <v>103</v>
      </c>
      <c r="B532" s="2" t="s">
        <v>24</v>
      </c>
      <c r="C532" s="2" t="s">
        <v>96</v>
      </c>
      <c r="D532" s="2" t="s">
        <v>97</v>
      </c>
      <c r="E532" s="2">
        <v>2022</v>
      </c>
      <c r="F532" s="2" t="s">
        <v>311</v>
      </c>
      <c r="G532" s="2" t="s">
        <v>3093</v>
      </c>
      <c r="H532" s="2" t="s">
        <v>3092</v>
      </c>
      <c r="I532" s="1" t="s">
        <v>14</v>
      </c>
      <c r="J532" s="1" t="s">
        <v>3737</v>
      </c>
      <c r="K532" s="17"/>
      <c r="L532" s="54"/>
      <c r="M532" s="39"/>
      <c r="N532" s="39"/>
      <c r="O532" s="39"/>
      <c r="P532" s="39"/>
      <c r="Q532" s="39"/>
      <c r="R532" s="39"/>
      <c r="S532" s="39"/>
      <c r="T532" s="39"/>
      <c r="U532" s="39"/>
      <c r="V532" s="39"/>
      <c r="W532" s="60" t="s">
        <v>3732</v>
      </c>
    </row>
    <row r="533" spans="1:23" s="79" customFormat="1" ht="102" x14ac:dyDescent="0.2">
      <c r="A533" s="1" t="s">
        <v>103</v>
      </c>
      <c r="B533" s="2" t="s">
        <v>24</v>
      </c>
      <c r="C533" s="2" t="s">
        <v>96</v>
      </c>
      <c r="D533" s="2" t="s">
        <v>97</v>
      </c>
      <c r="E533" s="2">
        <v>2022</v>
      </c>
      <c r="F533" s="2" t="s">
        <v>1794</v>
      </c>
      <c r="G533" s="2" t="s">
        <v>3093</v>
      </c>
      <c r="H533" s="2" t="s">
        <v>3092</v>
      </c>
      <c r="I533" s="1" t="s">
        <v>14</v>
      </c>
      <c r="J533" s="1" t="s">
        <v>3727</v>
      </c>
      <c r="K533" s="17"/>
      <c r="L533" s="54"/>
      <c r="M533" s="39"/>
      <c r="N533" s="39"/>
      <c r="O533" s="39"/>
      <c r="P533" s="39"/>
      <c r="Q533" s="39"/>
      <c r="R533" s="39"/>
      <c r="S533" s="39"/>
      <c r="T533" s="39"/>
      <c r="U533" s="39"/>
      <c r="V533" s="39"/>
      <c r="W533" s="60" t="s">
        <v>3732</v>
      </c>
    </row>
    <row r="534" spans="1:23" s="79" customFormat="1" ht="114.75" x14ac:dyDescent="0.2">
      <c r="A534" s="1" t="s">
        <v>103</v>
      </c>
      <c r="B534" s="2" t="s">
        <v>24</v>
      </c>
      <c r="C534" s="2" t="s">
        <v>96</v>
      </c>
      <c r="D534" s="2" t="s">
        <v>97</v>
      </c>
      <c r="E534" s="2">
        <v>2022</v>
      </c>
      <c r="F534" s="2" t="s">
        <v>1796</v>
      </c>
      <c r="G534" s="2" t="s">
        <v>3093</v>
      </c>
      <c r="H534" s="2" t="s">
        <v>3092</v>
      </c>
      <c r="I534" s="1" t="s">
        <v>14</v>
      </c>
      <c r="J534" s="1" t="s">
        <v>3738</v>
      </c>
      <c r="K534" s="17"/>
      <c r="L534" s="54"/>
      <c r="M534" s="39"/>
      <c r="N534" s="39"/>
      <c r="O534" s="39"/>
      <c r="P534" s="39"/>
      <c r="Q534" s="39"/>
      <c r="R534" s="39"/>
      <c r="S534" s="39"/>
      <c r="T534" s="39"/>
      <c r="U534" s="39"/>
      <c r="V534" s="39"/>
      <c r="W534" s="60" t="s">
        <v>3732</v>
      </c>
    </row>
    <row r="535" spans="1:23" s="79" customFormat="1" ht="127.5" x14ac:dyDescent="0.2">
      <c r="A535" s="1" t="s">
        <v>103</v>
      </c>
      <c r="B535" s="2" t="s">
        <v>24</v>
      </c>
      <c r="C535" s="2" t="s">
        <v>96</v>
      </c>
      <c r="D535" s="2" t="s">
        <v>97</v>
      </c>
      <c r="E535" s="2">
        <v>2022</v>
      </c>
      <c r="F535" s="2" t="s">
        <v>1798</v>
      </c>
      <c r="G535" s="2" t="s">
        <v>3093</v>
      </c>
      <c r="H535" s="2" t="s">
        <v>3092</v>
      </c>
      <c r="I535" s="1" t="s">
        <v>14</v>
      </c>
      <c r="J535" s="1" t="s">
        <v>3739</v>
      </c>
      <c r="K535" s="17"/>
      <c r="L535" s="54"/>
      <c r="M535" s="39"/>
      <c r="N535" s="39"/>
      <c r="O535" s="39"/>
      <c r="P535" s="39"/>
      <c r="Q535" s="39"/>
      <c r="R535" s="39"/>
      <c r="S535" s="39"/>
      <c r="T535" s="39"/>
      <c r="U535" s="39"/>
      <c r="V535" s="39"/>
      <c r="W535" s="60" t="s">
        <v>3732</v>
      </c>
    </row>
    <row r="536" spans="1:23" s="79" customFormat="1" ht="51" x14ac:dyDescent="0.2">
      <c r="A536" s="1" t="s">
        <v>996</v>
      </c>
      <c r="B536" s="2" t="s">
        <v>196</v>
      </c>
      <c r="C536" s="2" t="s">
        <v>997</v>
      </c>
      <c r="D536" s="2" t="s">
        <v>187</v>
      </c>
      <c r="E536" s="2">
        <v>2022</v>
      </c>
      <c r="F536" s="2" t="s">
        <v>1785</v>
      </c>
      <c r="G536" s="2" t="s">
        <v>3092</v>
      </c>
      <c r="H536" s="2" t="s">
        <v>3092</v>
      </c>
      <c r="I536" s="1" t="s">
        <v>3740</v>
      </c>
      <c r="J536" s="1" t="s">
        <v>3741</v>
      </c>
      <c r="K536" s="17"/>
      <c r="L536" s="54">
        <v>0.17199999999999999</v>
      </c>
      <c r="M536" s="39"/>
      <c r="N536" s="39"/>
      <c r="O536" s="39">
        <f>4.58/L536</f>
        <v>26.627906976744189</v>
      </c>
      <c r="P536" s="39"/>
      <c r="Q536" s="39"/>
      <c r="R536" s="39"/>
      <c r="S536" s="39"/>
      <c r="T536" s="39"/>
      <c r="U536" s="39"/>
      <c r="V536" s="39"/>
      <c r="W536" s="60"/>
    </row>
    <row r="537" spans="1:23" s="79" customFormat="1" ht="153" x14ac:dyDescent="0.2">
      <c r="A537" s="1" t="s">
        <v>996</v>
      </c>
      <c r="B537" s="2" t="s">
        <v>196</v>
      </c>
      <c r="C537" s="2" t="s">
        <v>997</v>
      </c>
      <c r="D537" s="2" t="s">
        <v>187</v>
      </c>
      <c r="E537" s="2">
        <v>2022</v>
      </c>
      <c r="F537" s="2" t="s">
        <v>1787</v>
      </c>
      <c r="G537" s="2" t="s">
        <v>3092</v>
      </c>
      <c r="H537" s="2" t="s">
        <v>3092</v>
      </c>
      <c r="I537" s="1" t="s">
        <v>3742</v>
      </c>
      <c r="J537" s="1" t="s">
        <v>3743</v>
      </c>
      <c r="K537" s="17"/>
      <c r="L537" s="54">
        <v>0.215</v>
      </c>
      <c r="M537" s="39"/>
      <c r="N537" s="39"/>
      <c r="O537" s="39">
        <f>(103.25/0.205)+(65.75/0.219)+(18.83/0.237)</f>
        <v>883.33832388089786</v>
      </c>
      <c r="P537" s="39"/>
      <c r="Q537" s="39"/>
      <c r="R537" s="39"/>
      <c r="S537" s="39"/>
      <c r="T537" s="39"/>
      <c r="U537" s="39"/>
      <c r="V537" s="39"/>
      <c r="W537" s="60"/>
    </row>
    <row r="538" spans="1:23" s="79" customFormat="1" ht="25.5" x14ac:dyDescent="0.2">
      <c r="A538" s="1" t="s">
        <v>59</v>
      </c>
      <c r="B538" s="2" t="s">
        <v>16</v>
      </c>
      <c r="C538" s="2" t="s">
        <v>60</v>
      </c>
      <c r="D538" s="2" t="s">
        <v>61</v>
      </c>
      <c r="E538" s="2">
        <v>2022</v>
      </c>
      <c r="F538" s="2" t="s">
        <v>1776</v>
      </c>
      <c r="G538" s="2" t="s">
        <v>3095</v>
      </c>
      <c r="H538" s="2" t="s">
        <v>3092</v>
      </c>
      <c r="I538" s="1" t="s">
        <v>14</v>
      </c>
      <c r="J538" s="1" t="s">
        <v>3744</v>
      </c>
      <c r="K538" s="17"/>
      <c r="L538" s="54">
        <v>0.307</v>
      </c>
      <c r="M538" s="39"/>
      <c r="N538" s="39"/>
      <c r="O538" s="39">
        <v>356</v>
      </c>
      <c r="P538" s="39"/>
      <c r="Q538" s="39"/>
      <c r="R538" s="39"/>
      <c r="S538" s="39"/>
      <c r="T538" s="39"/>
      <c r="U538" s="39"/>
      <c r="V538" s="39"/>
      <c r="W538" s="60" t="s">
        <v>1710</v>
      </c>
    </row>
    <row r="539" spans="1:23" s="79" customFormat="1" ht="25.5" x14ac:dyDescent="0.2">
      <c r="A539" s="1" t="s">
        <v>59</v>
      </c>
      <c r="B539" s="2" t="s">
        <v>16</v>
      </c>
      <c r="C539" s="2" t="s">
        <v>60</v>
      </c>
      <c r="D539" s="2" t="s">
        <v>61</v>
      </c>
      <c r="E539" s="2">
        <v>2022</v>
      </c>
      <c r="F539" s="2" t="s">
        <v>1779</v>
      </c>
      <c r="G539" s="2" t="s">
        <v>3095</v>
      </c>
      <c r="H539" s="2" t="s">
        <v>3092</v>
      </c>
      <c r="I539" s="1" t="s">
        <v>14</v>
      </c>
      <c r="J539" s="1" t="s">
        <v>3745</v>
      </c>
      <c r="K539" s="17"/>
      <c r="L539" s="54">
        <v>0.29220000000000002</v>
      </c>
      <c r="M539" s="39"/>
      <c r="N539" s="39"/>
      <c r="O539" s="39">
        <v>336.1</v>
      </c>
      <c r="P539" s="39"/>
      <c r="Q539" s="39"/>
      <c r="R539" s="39"/>
      <c r="S539" s="39"/>
      <c r="T539" s="39"/>
      <c r="U539" s="39"/>
      <c r="V539" s="39"/>
      <c r="W539" s="60" t="s">
        <v>1710</v>
      </c>
    </row>
    <row r="540" spans="1:23" s="79" customFormat="1" ht="25.5" x14ac:dyDescent="0.2">
      <c r="A540" s="1" t="s">
        <v>59</v>
      </c>
      <c r="B540" s="2" t="s">
        <v>16</v>
      </c>
      <c r="C540" s="2" t="s">
        <v>60</v>
      </c>
      <c r="D540" s="2" t="s">
        <v>61</v>
      </c>
      <c r="E540" s="2">
        <v>2022</v>
      </c>
      <c r="F540" s="2" t="s">
        <v>1781</v>
      </c>
      <c r="G540" s="2" t="s">
        <v>3095</v>
      </c>
      <c r="H540" s="2" t="s">
        <v>3092</v>
      </c>
      <c r="I540" s="1" t="s">
        <v>14</v>
      </c>
      <c r="J540" s="1" t="s">
        <v>3746</v>
      </c>
      <c r="K540" s="17"/>
      <c r="L540" s="54">
        <v>0.3357</v>
      </c>
      <c r="M540" s="39"/>
      <c r="N540" s="39"/>
      <c r="O540" s="39">
        <v>494.9</v>
      </c>
      <c r="P540" s="39"/>
      <c r="Q540" s="39"/>
      <c r="R540" s="39"/>
      <c r="S540" s="39"/>
      <c r="T540" s="39"/>
      <c r="U540" s="39"/>
      <c r="V540" s="39"/>
      <c r="W540" s="60" t="s">
        <v>1710</v>
      </c>
    </row>
    <row r="541" spans="1:23" s="79" customFormat="1" ht="25.5" x14ac:dyDescent="0.2">
      <c r="A541" s="1" t="s">
        <v>59</v>
      </c>
      <c r="B541" s="2" t="s">
        <v>16</v>
      </c>
      <c r="C541" s="2" t="s">
        <v>60</v>
      </c>
      <c r="D541" s="2" t="s">
        <v>61</v>
      </c>
      <c r="E541" s="2">
        <v>2022</v>
      </c>
      <c r="F541" s="2" t="s">
        <v>1783</v>
      </c>
      <c r="G541" s="2" t="s">
        <v>3095</v>
      </c>
      <c r="H541" s="2" t="s">
        <v>3092</v>
      </c>
      <c r="I541" s="1" t="s">
        <v>14</v>
      </c>
      <c r="J541" s="1" t="s">
        <v>3747</v>
      </c>
      <c r="K541" s="17"/>
      <c r="L541" s="54">
        <v>0.36599999999999999</v>
      </c>
      <c r="M541" s="39"/>
      <c r="N541" s="39"/>
      <c r="O541" s="39">
        <v>530.5</v>
      </c>
      <c r="P541" s="39"/>
      <c r="Q541" s="39"/>
      <c r="R541" s="39"/>
      <c r="S541" s="39"/>
      <c r="T541" s="39"/>
      <c r="U541" s="39"/>
      <c r="V541" s="39"/>
      <c r="W541" s="60" t="s">
        <v>1710</v>
      </c>
    </row>
    <row r="542" spans="1:23" s="79" customFormat="1" ht="25.5" x14ac:dyDescent="0.2">
      <c r="A542" s="1" t="s">
        <v>59</v>
      </c>
      <c r="B542" s="2" t="s">
        <v>16</v>
      </c>
      <c r="C542" s="2" t="s">
        <v>60</v>
      </c>
      <c r="D542" s="2" t="s">
        <v>61</v>
      </c>
      <c r="E542" s="2">
        <v>2022</v>
      </c>
      <c r="F542" s="2" t="s">
        <v>1785</v>
      </c>
      <c r="G542" s="2" t="s">
        <v>3095</v>
      </c>
      <c r="H542" s="2" t="s">
        <v>3092</v>
      </c>
      <c r="I542" s="1" t="s">
        <v>14</v>
      </c>
      <c r="J542" s="1" t="s">
        <v>3748</v>
      </c>
      <c r="K542" s="17"/>
      <c r="L542" s="54">
        <v>0.29160000000000003</v>
      </c>
      <c r="M542" s="39"/>
      <c r="N542" s="39"/>
      <c r="O542" s="39">
        <v>436.1</v>
      </c>
      <c r="P542" s="39"/>
      <c r="Q542" s="39"/>
      <c r="R542" s="39"/>
      <c r="S542" s="39"/>
      <c r="T542" s="39"/>
      <c r="U542" s="39"/>
      <c r="V542" s="39"/>
      <c r="W542" s="60" t="s">
        <v>1710</v>
      </c>
    </row>
    <row r="543" spans="1:23" s="79" customFormat="1" ht="25.5" x14ac:dyDescent="0.2">
      <c r="A543" s="1" t="s">
        <v>59</v>
      </c>
      <c r="B543" s="2" t="s">
        <v>16</v>
      </c>
      <c r="C543" s="2" t="s">
        <v>60</v>
      </c>
      <c r="D543" s="2" t="s">
        <v>61</v>
      </c>
      <c r="E543" s="2">
        <v>2022</v>
      </c>
      <c r="F543" s="2" t="s">
        <v>1787</v>
      </c>
      <c r="G543" s="2" t="s">
        <v>3095</v>
      </c>
      <c r="H543" s="2" t="s">
        <v>3092</v>
      </c>
      <c r="I543" s="1" t="s">
        <v>14</v>
      </c>
      <c r="J543" s="1" t="s">
        <v>3749</v>
      </c>
      <c r="K543" s="17"/>
      <c r="L543" s="54">
        <v>0.28299999999999997</v>
      </c>
      <c r="M543" s="39"/>
      <c r="N543" s="39"/>
      <c r="O543" s="39">
        <v>457.9</v>
      </c>
      <c r="P543" s="39"/>
      <c r="Q543" s="39"/>
      <c r="R543" s="39"/>
      <c r="S543" s="39"/>
      <c r="T543" s="39"/>
      <c r="U543" s="39"/>
      <c r="V543" s="39"/>
      <c r="W543" s="60" t="s">
        <v>1710</v>
      </c>
    </row>
    <row r="544" spans="1:23" s="79" customFormat="1" ht="25.5" x14ac:dyDescent="0.2">
      <c r="A544" s="1" t="s">
        <v>59</v>
      </c>
      <c r="B544" s="2" t="s">
        <v>16</v>
      </c>
      <c r="C544" s="2" t="s">
        <v>60</v>
      </c>
      <c r="D544" s="2" t="s">
        <v>61</v>
      </c>
      <c r="E544" s="2">
        <v>2022</v>
      </c>
      <c r="F544" s="2" t="s">
        <v>1789</v>
      </c>
      <c r="G544" s="2" t="s">
        <v>3095</v>
      </c>
      <c r="H544" s="2" t="s">
        <v>3092</v>
      </c>
      <c r="I544" s="1" t="s">
        <v>14</v>
      </c>
      <c r="J544" s="1" t="s">
        <v>3750</v>
      </c>
      <c r="K544" s="17"/>
      <c r="L544" s="54">
        <v>0.30599999999999999</v>
      </c>
      <c r="M544" s="39"/>
      <c r="N544" s="39"/>
      <c r="O544" s="39">
        <v>576</v>
      </c>
      <c r="P544" s="39"/>
      <c r="Q544" s="39"/>
      <c r="R544" s="39"/>
      <c r="S544" s="39"/>
      <c r="T544" s="39"/>
      <c r="U544" s="39"/>
      <c r="V544" s="39"/>
      <c r="W544" s="60" t="s">
        <v>1710</v>
      </c>
    </row>
    <row r="545" spans="1:23" s="79" customFormat="1" ht="25.5" x14ac:dyDescent="0.2">
      <c r="A545" s="1" t="s">
        <v>59</v>
      </c>
      <c r="B545" s="2" t="s">
        <v>16</v>
      </c>
      <c r="C545" s="2" t="s">
        <v>60</v>
      </c>
      <c r="D545" s="2" t="s">
        <v>61</v>
      </c>
      <c r="E545" s="2">
        <v>2022</v>
      </c>
      <c r="F545" s="2" t="s">
        <v>1791</v>
      </c>
      <c r="G545" s="2" t="s">
        <v>3095</v>
      </c>
      <c r="H545" s="2" t="s">
        <v>3092</v>
      </c>
      <c r="I545" s="1" t="s">
        <v>14</v>
      </c>
      <c r="J545" s="1" t="s">
        <v>3751</v>
      </c>
      <c r="K545" s="17"/>
      <c r="L545" s="54">
        <v>0.35089999999999999</v>
      </c>
      <c r="M545" s="15"/>
      <c r="N545" s="15"/>
      <c r="O545" s="15">
        <v>499.7</v>
      </c>
      <c r="P545" s="15"/>
      <c r="Q545" s="15"/>
      <c r="R545" s="15"/>
      <c r="S545" s="15"/>
      <c r="T545" s="15"/>
      <c r="U545" s="15"/>
      <c r="V545" s="15"/>
      <c r="W545" s="60" t="s">
        <v>1710</v>
      </c>
    </row>
    <row r="546" spans="1:23" s="79" customFormat="1" ht="25.5" x14ac:dyDescent="0.2">
      <c r="A546" s="1" t="s">
        <v>59</v>
      </c>
      <c r="B546" s="2" t="s">
        <v>16</v>
      </c>
      <c r="C546" s="2" t="s">
        <v>60</v>
      </c>
      <c r="D546" s="2" t="s">
        <v>61</v>
      </c>
      <c r="E546" s="2">
        <v>2022</v>
      </c>
      <c r="F546" s="2" t="s">
        <v>311</v>
      </c>
      <c r="G546" s="2" t="s">
        <v>3095</v>
      </c>
      <c r="H546" s="2" t="s">
        <v>3092</v>
      </c>
      <c r="I546" s="1" t="s">
        <v>14</v>
      </c>
      <c r="J546" s="1" t="s">
        <v>3752</v>
      </c>
      <c r="K546" s="17"/>
      <c r="L546" s="54">
        <v>0.36849999999999999</v>
      </c>
      <c r="M546" s="15"/>
      <c r="N546" s="15"/>
      <c r="O546" s="15">
        <v>406</v>
      </c>
      <c r="P546" s="15"/>
      <c r="Q546" s="15"/>
      <c r="R546" s="15"/>
      <c r="S546" s="15"/>
      <c r="T546" s="15"/>
      <c r="U546" s="15"/>
      <c r="V546" s="15"/>
      <c r="W546" s="60" t="s">
        <v>1710</v>
      </c>
    </row>
    <row r="547" spans="1:23" s="79" customFormat="1" ht="25.5" x14ac:dyDescent="0.2">
      <c r="A547" s="1" t="s">
        <v>59</v>
      </c>
      <c r="B547" s="2" t="s">
        <v>16</v>
      </c>
      <c r="C547" s="2" t="s">
        <v>60</v>
      </c>
      <c r="D547" s="2" t="s">
        <v>61</v>
      </c>
      <c r="E547" s="2">
        <v>2022</v>
      </c>
      <c r="F547" s="2" t="s">
        <v>1794</v>
      </c>
      <c r="G547" s="2" t="s">
        <v>3095</v>
      </c>
      <c r="H547" s="2" t="s">
        <v>3092</v>
      </c>
      <c r="I547" s="1" t="s">
        <v>14</v>
      </c>
      <c r="J547" s="1" t="s">
        <v>3753</v>
      </c>
      <c r="K547" s="17"/>
      <c r="L547" s="54">
        <v>0.37859999999999999</v>
      </c>
      <c r="M547" s="39"/>
      <c r="N547" s="39"/>
      <c r="O547" s="39">
        <v>424.8</v>
      </c>
      <c r="P547" s="39"/>
      <c r="Q547" s="39"/>
      <c r="R547" s="39"/>
      <c r="S547" s="39"/>
      <c r="T547" s="39"/>
      <c r="U547" s="39"/>
      <c r="V547" s="39"/>
      <c r="W547" s="60" t="s">
        <v>1710</v>
      </c>
    </row>
    <row r="548" spans="1:23" s="79" customFormat="1" ht="25.5" x14ac:dyDescent="0.2">
      <c r="A548" s="1" t="s">
        <v>59</v>
      </c>
      <c r="B548" s="2" t="s">
        <v>16</v>
      </c>
      <c r="C548" s="2" t="s">
        <v>60</v>
      </c>
      <c r="D548" s="2" t="s">
        <v>61</v>
      </c>
      <c r="E548" s="2">
        <v>2022</v>
      </c>
      <c r="F548" s="2" t="s">
        <v>1796</v>
      </c>
      <c r="G548" s="2" t="s">
        <v>3095</v>
      </c>
      <c r="H548" s="2" t="s">
        <v>3092</v>
      </c>
      <c r="I548" s="1" t="s">
        <v>14</v>
      </c>
      <c r="J548" s="1" t="s">
        <v>3754</v>
      </c>
      <c r="K548" s="17"/>
      <c r="L548" s="54">
        <v>0.35799999999999998</v>
      </c>
      <c r="M548" s="39"/>
      <c r="N548" s="39"/>
      <c r="O548" s="39">
        <v>355.5</v>
      </c>
      <c r="P548" s="39"/>
      <c r="Q548" s="39"/>
      <c r="R548" s="39"/>
      <c r="S548" s="39"/>
      <c r="T548" s="39"/>
      <c r="U548" s="39"/>
      <c r="V548" s="39"/>
      <c r="W548" s="60" t="s">
        <v>1710</v>
      </c>
    </row>
    <row r="549" spans="1:23" s="79" customFormat="1" ht="25.5" x14ac:dyDescent="0.2">
      <c r="A549" s="1" t="s">
        <v>59</v>
      </c>
      <c r="B549" s="2" t="s">
        <v>16</v>
      </c>
      <c r="C549" s="2" t="s">
        <v>60</v>
      </c>
      <c r="D549" s="2" t="s">
        <v>61</v>
      </c>
      <c r="E549" s="2">
        <v>2022</v>
      </c>
      <c r="F549" s="2" t="s">
        <v>1798</v>
      </c>
      <c r="G549" s="2" t="s">
        <v>3095</v>
      </c>
      <c r="H549" s="2" t="s">
        <v>3092</v>
      </c>
      <c r="I549" s="1" t="s">
        <v>14</v>
      </c>
      <c r="J549" s="1" t="s">
        <v>3755</v>
      </c>
      <c r="K549" s="17"/>
      <c r="L549" s="54">
        <v>0.3614</v>
      </c>
      <c r="M549" s="39"/>
      <c r="N549" s="39"/>
      <c r="O549" s="39">
        <v>353.6</v>
      </c>
      <c r="P549" s="39"/>
      <c r="Q549" s="39"/>
      <c r="R549" s="39"/>
      <c r="S549" s="39"/>
      <c r="T549" s="39"/>
      <c r="U549" s="39"/>
      <c r="V549" s="39"/>
      <c r="W549" s="60" t="s">
        <v>1710</v>
      </c>
    </row>
    <row r="550" spans="1:23" s="79" customFormat="1" ht="51" x14ac:dyDescent="0.2">
      <c r="A550" s="1" t="s">
        <v>281</v>
      </c>
      <c r="B550" s="2" t="s">
        <v>196</v>
      </c>
      <c r="C550" s="2" t="s">
        <v>282</v>
      </c>
      <c r="D550" s="2" t="s">
        <v>283</v>
      </c>
      <c r="E550" s="2">
        <v>2022</v>
      </c>
      <c r="F550" s="2" t="s">
        <v>311</v>
      </c>
      <c r="G550" s="2" t="s">
        <v>3093</v>
      </c>
      <c r="H550" s="2" t="s">
        <v>3092</v>
      </c>
      <c r="I550" s="1" t="s">
        <v>14</v>
      </c>
      <c r="J550" s="1" t="s">
        <v>3756</v>
      </c>
      <c r="K550" s="17"/>
      <c r="L550" s="54">
        <v>0.38</v>
      </c>
      <c r="M550" s="39"/>
      <c r="N550" s="39"/>
      <c r="O550" s="39">
        <v>860</v>
      </c>
      <c r="P550" s="39"/>
      <c r="Q550" s="39"/>
      <c r="R550" s="39"/>
      <c r="S550" s="39"/>
      <c r="T550" s="39"/>
      <c r="U550" s="39"/>
      <c r="V550" s="39"/>
      <c r="W550" s="60"/>
    </row>
    <row r="551" spans="1:23" s="79" customFormat="1" ht="76.5" x14ac:dyDescent="0.2">
      <c r="A551" s="1" t="s">
        <v>237</v>
      </c>
      <c r="B551" s="2" t="s">
        <v>232</v>
      </c>
      <c r="C551" s="2" t="s">
        <v>238</v>
      </c>
      <c r="D551" s="2" t="s">
        <v>58</v>
      </c>
      <c r="E551" s="2">
        <v>2022</v>
      </c>
      <c r="F551" s="2" t="s">
        <v>1796</v>
      </c>
      <c r="G551" s="2" t="s">
        <v>3092</v>
      </c>
      <c r="H551" s="2" t="s">
        <v>3092</v>
      </c>
      <c r="I551" s="1" t="s">
        <v>3757</v>
      </c>
      <c r="J551" s="1" t="s">
        <v>3758</v>
      </c>
      <c r="K551" s="17"/>
      <c r="L551" s="54"/>
      <c r="M551" s="39"/>
      <c r="N551" s="39"/>
      <c r="O551" s="39"/>
      <c r="P551" s="39"/>
      <c r="Q551" s="39"/>
      <c r="R551" s="39"/>
      <c r="S551" s="39"/>
      <c r="T551" s="39"/>
      <c r="U551" s="39"/>
      <c r="V551" s="39"/>
      <c r="W551" s="60" t="s">
        <v>3759</v>
      </c>
    </row>
    <row r="552" spans="1:23" s="79" customFormat="1" ht="25.5" x14ac:dyDescent="0.2">
      <c r="A552" s="1" t="s">
        <v>2517</v>
      </c>
      <c r="B552" s="2" t="s">
        <v>271</v>
      </c>
      <c r="C552" s="2" t="s">
        <v>2518</v>
      </c>
      <c r="D552" s="2" t="s">
        <v>184</v>
      </c>
      <c r="E552" s="2">
        <v>2022</v>
      </c>
      <c r="F552" s="2" t="s">
        <v>1794</v>
      </c>
      <c r="G552" s="2" t="s">
        <v>3093</v>
      </c>
      <c r="H552" s="2" t="s">
        <v>3092</v>
      </c>
      <c r="I552" s="1" t="s">
        <v>14</v>
      </c>
      <c r="J552" s="1" t="s">
        <v>3760</v>
      </c>
      <c r="K552" s="17"/>
      <c r="L552" s="54">
        <v>0.67100000000000004</v>
      </c>
      <c r="M552" s="39"/>
      <c r="N552" s="39"/>
      <c r="O552" s="39">
        <f>40*0.8</f>
        <v>32</v>
      </c>
      <c r="P552" s="39"/>
      <c r="Q552" s="39"/>
      <c r="R552" s="39"/>
      <c r="S552" s="39"/>
      <c r="T552" s="39"/>
      <c r="U552" s="39"/>
      <c r="V552" s="39"/>
      <c r="W552" s="60" t="s">
        <v>1680</v>
      </c>
    </row>
    <row r="553" spans="1:23" s="79" customFormat="1" ht="114.75" x14ac:dyDescent="0.2">
      <c r="A553" s="1" t="s">
        <v>2520</v>
      </c>
      <c r="B553" s="2" t="s">
        <v>196</v>
      </c>
      <c r="C553" s="2" t="s">
        <v>2521</v>
      </c>
      <c r="D553" s="2" t="s">
        <v>355</v>
      </c>
      <c r="E553" s="2">
        <v>2022</v>
      </c>
      <c r="F553" s="2" t="s">
        <v>1791</v>
      </c>
      <c r="G553" s="2" t="s">
        <v>3092</v>
      </c>
      <c r="H553" s="2" t="s">
        <v>3092</v>
      </c>
      <c r="I553" s="1" t="s">
        <v>3761</v>
      </c>
      <c r="J553" s="1" t="s">
        <v>3762</v>
      </c>
      <c r="K553" s="17"/>
      <c r="L553" s="54">
        <v>3.3000000000000002E-2</v>
      </c>
      <c r="M553" s="39"/>
      <c r="N553" s="39"/>
      <c r="O553" s="39">
        <f>1393.01+6433.44+6930.49+1211.27</f>
        <v>15968.21</v>
      </c>
      <c r="P553" s="39"/>
      <c r="Q553" s="39"/>
      <c r="R553" s="39"/>
      <c r="S553" s="39"/>
      <c r="T553" s="39"/>
      <c r="U553" s="39"/>
      <c r="V553" s="39"/>
      <c r="W553" s="60" t="s">
        <v>1699</v>
      </c>
    </row>
    <row r="554" spans="1:23" s="79" customFormat="1" ht="38.25" x14ac:dyDescent="0.2">
      <c r="A554" s="1" t="s">
        <v>3763</v>
      </c>
      <c r="B554" s="2" t="s">
        <v>196</v>
      </c>
      <c r="C554" s="2" t="s">
        <v>424</v>
      </c>
      <c r="D554" s="2" t="s">
        <v>425</v>
      </c>
      <c r="E554" s="2">
        <v>2022</v>
      </c>
      <c r="F554" s="2" t="s">
        <v>311</v>
      </c>
      <c r="G554" s="2" t="s">
        <v>3092</v>
      </c>
      <c r="H554" s="2" t="s">
        <v>3092</v>
      </c>
      <c r="I554" s="1" t="s">
        <v>3764</v>
      </c>
      <c r="J554" s="1" t="s">
        <v>3764</v>
      </c>
      <c r="K554" s="17"/>
      <c r="L554" s="54"/>
      <c r="M554" s="39"/>
      <c r="N554" s="39"/>
      <c r="O554" s="39"/>
      <c r="P554" s="39"/>
      <c r="Q554" s="39"/>
      <c r="R554" s="39"/>
      <c r="S554" s="39"/>
      <c r="T554" s="39"/>
      <c r="U554" s="39"/>
      <c r="V554" s="39"/>
      <c r="W554" s="60" t="s">
        <v>3765</v>
      </c>
    </row>
    <row r="555" spans="1:23" s="79" customFormat="1" ht="51" x14ac:dyDescent="0.2">
      <c r="A555" s="1" t="s">
        <v>3763</v>
      </c>
      <c r="B555" s="2" t="s">
        <v>196</v>
      </c>
      <c r="C555" s="2" t="s">
        <v>424</v>
      </c>
      <c r="D555" s="2" t="s">
        <v>425</v>
      </c>
      <c r="E555" s="2">
        <v>2022</v>
      </c>
      <c r="F555" s="2" t="s">
        <v>1794</v>
      </c>
      <c r="G555" s="2" t="s">
        <v>3092</v>
      </c>
      <c r="H555" s="2" t="s">
        <v>3093</v>
      </c>
      <c r="I555" s="1" t="s">
        <v>3766</v>
      </c>
      <c r="J555" s="1" t="s">
        <v>14</v>
      </c>
      <c r="K555" s="17"/>
      <c r="L555" s="54"/>
      <c r="M555" s="39"/>
      <c r="N555" s="39"/>
      <c r="O555" s="39"/>
      <c r="P555" s="39"/>
      <c r="Q555" s="39"/>
      <c r="R555" s="39"/>
      <c r="S555" s="39"/>
      <c r="T555" s="39"/>
      <c r="U555" s="39"/>
      <c r="V555" s="39"/>
      <c r="W555" s="60" t="s">
        <v>3765</v>
      </c>
    </row>
    <row r="556" spans="1:23" s="79" customFormat="1" ht="409.5" x14ac:dyDescent="0.2">
      <c r="A556" s="1" t="s">
        <v>3763</v>
      </c>
      <c r="B556" s="2" t="s">
        <v>196</v>
      </c>
      <c r="C556" s="2" t="s">
        <v>424</v>
      </c>
      <c r="D556" s="2" t="s">
        <v>425</v>
      </c>
      <c r="E556" s="2">
        <v>2022</v>
      </c>
      <c r="F556" s="2" t="s">
        <v>1796</v>
      </c>
      <c r="G556" s="2" t="s">
        <v>3092</v>
      </c>
      <c r="H556" s="2" t="s">
        <v>3092</v>
      </c>
      <c r="I556" s="1" t="s">
        <v>3767</v>
      </c>
      <c r="J556" s="1" t="s">
        <v>3768</v>
      </c>
      <c r="K556" s="17"/>
      <c r="L556" s="54">
        <v>0.34050000000000002</v>
      </c>
      <c r="M556" s="39"/>
      <c r="N556" s="39"/>
      <c r="O556" s="39"/>
      <c r="P556" s="39">
        <f>(658.66+500.85)/0.3405</f>
        <v>3405.3157121879585</v>
      </c>
      <c r="Q556" s="39"/>
      <c r="R556" s="39"/>
      <c r="S556" s="39"/>
      <c r="T556" s="39"/>
      <c r="U556" s="39"/>
      <c r="V556" s="39"/>
      <c r="W556" s="60"/>
    </row>
    <row r="557" spans="1:23" s="79" customFormat="1" ht="63.75" x14ac:dyDescent="0.2">
      <c r="A557" s="1" t="s">
        <v>451</v>
      </c>
      <c r="B557" s="2" t="s">
        <v>32</v>
      </c>
      <c r="C557" s="2" t="s">
        <v>424</v>
      </c>
      <c r="D557" s="2" t="s">
        <v>425</v>
      </c>
      <c r="E557" s="2">
        <v>2022</v>
      </c>
      <c r="F557" s="2" t="s">
        <v>1787</v>
      </c>
      <c r="G557" s="2" t="s">
        <v>3092</v>
      </c>
      <c r="H557" s="2" t="s">
        <v>3092</v>
      </c>
      <c r="I557" s="1" t="s">
        <v>3769</v>
      </c>
      <c r="J557" s="1" t="s">
        <v>3770</v>
      </c>
      <c r="K557" s="17"/>
      <c r="L557" s="54"/>
      <c r="M557" s="39"/>
      <c r="N557" s="39"/>
      <c r="O557" s="39"/>
      <c r="P557" s="39"/>
      <c r="Q557" s="39"/>
      <c r="R557" s="39"/>
      <c r="S557" s="39"/>
      <c r="T557" s="39"/>
      <c r="U557" s="39"/>
      <c r="V557" s="39"/>
      <c r="W557" s="60" t="s">
        <v>3771</v>
      </c>
    </row>
    <row r="558" spans="1:23" s="79" customFormat="1" ht="127.5" x14ac:dyDescent="0.2">
      <c r="A558" s="1" t="s">
        <v>451</v>
      </c>
      <c r="B558" s="2" t="s">
        <v>32</v>
      </c>
      <c r="C558" s="2" t="s">
        <v>424</v>
      </c>
      <c r="D558" s="2" t="s">
        <v>425</v>
      </c>
      <c r="E558" s="2">
        <v>2022</v>
      </c>
      <c r="F558" s="2" t="s">
        <v>311</v>
      </c>
      <c r="G558" s="2" t="s">
        <v>3092</v>
      </c>
      <c r="H558" s="2" t="s">
        <v>3093</v>
      </c>
      <c r="I558" s="1" t="s">
        <v>3772</v>
      </c>
      <c r="J558" s="1" t="s">
        <v>14</v>
      </c>
      <c r="K558" s="17"/>
      <c r="L558" s="54" t="s">
        <v>3773</v>
      </c>
      <c r="M558" s="39"/>
      <c r="N558" s="39"/>
      <c r="O558" s="39"/>
      <c r="P558" s="39"/>
      <c r="Q558" s="39"/>
      <c r="R558" s="39"/>
      <c r="S558" s="39"/>
      <c r="T558" s="39"/>
      <c r="U558" s="39"/>
      <c r="V558" s="39">
        <f>6.146+11.968</f>
        <v>18.114000000000001</v>
      </c>
      <c r="W558" s="60" t="s">
        <v>1699</v>
      </c>
    </row>
    <row r="559" spans="1:23" s="79" customFormat="1" ht="63.75" x14ac:dyDescent="0.2">
      <c r="A559" s="1" t="s">
        <v>451</v>
      </c>
      <c r="B559" s="2" t="s">
        <v>32</v>
      </c>
      <c r="C559" s="2" t="s">
        <v>424</v>
      </c>
      <c r="D559" s="2" t="s">
        <v>425</v>
      </c>
      <c r="E559" s="2">
        <v>2022</v>
      </c>
      <c r="F559" s="2" t="s">
        <v>1798</v>
      </c>
      <c r="G559" s="2" t="s">
        <v>3092</v>
      </c>
      <c r="H559" s="2" t="s">
        <v>3093</v>
      </c>
      <c r="I559" s="1" t="s">
        <v>3774</v>
      </c>
      <c r="J559" s="1" t="s">
        <v>14</v>
      </c>
      <c r="K559" s="17"/>
      <c r="L559" s="54">
        <v>1.7000000000000001E-2</v>
      </c>
      <c r="M559" s="39"/>
      <c r="N559" s="39"/>
      <c r="O559" s="39"/>
      <c r="P559" s="39"/>
      <c r="Q559" s="39"/>
      <c r="R559" s="39"/>
      <c r="S559" s="39"/>
      <c r="T559" s="39"/>
      <c r="U559" s="39"/>
      <c r="V559" s="39">
        <v>6.0750000000000002</v>
      </c>
      <c r="W559" s="60" t="s">
        <v>1699</v>
      </c>
    </row>
    <row r="560" spans="1:23" s="79" customFormat="1" ht="38.25" x14ac:dyDescent="0.2">
      <c r="A560" s="1" t="s">
        <v>47</v>
      </c>
      <c r="B560" s="2" t="s">
        <v>48</v>
      </c>
      <c r="C560" s="2" t="s">
        <v>49</v>
      </c>
      <c r="D560" s="2" t="s">
        <v>50</v>
      </c>
      <c r="E560" s="2">
        <v>2022</v>
      </c>
      <c r="F560" s="2" t="s">
        <v>1776</v>
      </c>
      <c r="G560" s="2" t="s">
        <v>3095</v>
      </c>
      <c r="H560" s="2" t="s">
        <v>3092</v>
      </c>
      <c r="I560" s="1" t="s">
        <v>14</v>
      </c>
      <c r="J560" s="1" t="s">
        <v>3775</v>
      </c>
      <c r="K560" s="17"/>
      <c r="L560" s="80">
        <v>0.14599999999999999</v>
      </c>
      <c r="M560" s="81"/>
      <c r="N560" s="15"/>
      <c r="O560" s="15"/>
      <c r="P560" s="15"/>
      <c r="Q560" s="15"/>
      <c r="R560" s="15">
        <v>1077.58</v>
      </c>
      <c r="S560" s="15"/>
      <c r="T560" s="15"/>
      <c r="U560" s="15"/>
      <c r="V560" s="81"/>
      <c r="W560" s="60" t="s">
        <v>3776</v>
      </c>
    </row>
    <row r="561" spans="1:23" s="79" customFormat="1" ht="38.25" x14ac:dyDescent="0.2">
      <c r="A561" s="1" t="s">
        <v>47</v>
      </c>
      <c r="B561" s="2" t="s">
        <v>48</v>
      </c>
      <c r="C561" s="2" t="s">
        <v>49</v>
      </c>
      <c r="D561" s="2" t="s">
        <v>50</v>
      </c>
      <c r="E561" s="2">
        <v>2022</v>
      </c>
      <c r="F561" s="2" t="s">
        <v>1779</v>
      </c>
      <c r="G561" s="2" t="s">
        <v>3095</v>
      </c>
      <c r="H561" s="2" t="s">
        <v>3092</v>
      </c>
      <c r="I561" s="1" t="s">
        <v>14</v>
      </c>
      <c r="J561" s="1" t="s">
        <v>3777</v>
      </c>
      <c r="K561" s="17"/>
      <c r="L561" s="54">
        <v>0.16</v>
      </c>
      <c r="M561" s="3"/>
      <c r="N561" s="39"/>
      <c r="O561" s="39"/>
      <c r="P561" s="39"/>
      <c r="Q561" s="39"/>
      <c r="R561" s="39">
        <v>1047</v>
      </c>
      <c r="S561" s="39"/>
      <c r="T561" s="39"/>
      <c r="U561" s="39"/>
      <c r="V561" s="3"/>
      <c r="W561" s="60" t="s">
        <v>3776</v>
      </c>
    </row>
    <row r="562" spans="1:23" s="79" customFormat="1" ht="38.25" x14ac:dyDescent="0.2">
      <c r="A562" s="1" t="s">
        <v>47</v>
      </c>
      <c r="B562" s="2" t="s">
        <v>48</v>
      </c>
      <c r="C562" s="2" t="s">
        <v>49</v>
      </c>
      <c r="D562" s="2" t="s">
        <v>50</v>
      </c>
      <c r="E562" s="2">
        <v>2022</v>
      </c>
      <c r="F562" s="2" t="s">
        <v>1781</v>
      </c>
      <c r="G562" s="2" t="s">
        <v>3095</v>
      </c>
      <c r="H562" s="2" t="s">
        <v>3092</v>
      </c>
      <c r="I562" s="1" t="s">
        <v>14</v>
      </c>
      <c r="J562" s="1" t="s">
        <v>3778</v>
      </c>
      <c r="K562" s="17"/>
      <c r="L562" s="54">
        <v>0.17799999999999999</v>
      </c>
      <c r="M562" s="3"/>
      <c r="N562" s="39"/>
      <c r="O562" s="39"/>
      <c r="P562" s="39"/>
      <c r="Q562" s="39"/>
      <c r="R562" s="39">
        <v>1203</v>
      </c>
      <c r="S562" s="39"/>
      <c r="T562" s="39"/>
      <c r="U562" s="39"/>
      <c r="V562" s="3"/>
      <c r="W562" s="60" t="s">
        <v>3776</v>
      </c>
    </row>
    <row r="563" spans="1:23" s="79" customFormat="1" ht="38.25" x14ac:dyDescent="0.2">
      <c r="A563" s="1" t="s">
        <v>47</v>
      </c>
      <c r="B563" s="2" t="s">
        <v>48</v>
      </c>
      <c r="C563" s="2" t="s">
        <v>49</v>
      </c>
      <c r="D563" s="2" t="s">
        <v>50</v>
      </c>
      <c r="E563" s="2">
        <v>2022</v>
      </c>
      <c r="F563" s="2" t="s">
        <v>1783</v>
      </c>
      <c r="G563" s="2" t="s">
        <v>3095</v>
      </c>
      <c r="H563" s="2" t="s">
        <v>3092</v>
      </c>
      <c r="I563" s="1" t="s">
        <v>14</v>
      </c>
      <c r="J563" s="1" t="s">
        <v>3779</v>
      </c>
      <c r="K563" s="17"/>
      <c r="L563" s="54">
        <v>0.187</v>
      </c>
      <c r="M563" s="3"/>
      <c r="N563" s="39"/>
      <c r="O563" s="39"/>
      <c r="P563" s="39"/>
      <c r="Q563" s="39"/>
      <c r="R563" s="39">
        <v>741</v>
      </c>
      <c r="S563" s="39"/>
      <c r="T563" s="39"/>
      <c r="U563" s="39"/>
      <c r="V563" s="3"/>
      <c r="W563" s="60" t="s">
        <v>3776</v>
      </c>
    </row>
    <row r="564" spans="1:23" s="79" customFormat="1" ht="63.75" x14ac:dyDescent="0.2">
      <c r="A564" s="1" t="s">
        <v>47</v>
      </c>
      <c r="B564" s="2" t="s">
        <v>48</v>
      </c>
      <c r="C564" s="2" t="s">
        <v>49</v>
      </c>
      <c r="D564" s="2" t="s">
        <v>50</v>
      </c>
      <c r="E564" s="2">
        <v>2022</v>
      </c>
      <c r="F564" s="2" t="s">
        <v>1785</v>
      </c>
      <c r="G564" s="2" t="s">
        <v>3095</v>
      </c>
      <c r="H564" s="2" t="s">
        <v>3092</v>
      </c>
      <c r="I564" s="1" t="s">
        <v>14</v>
      </c>
      <c r="J564" s="1" t="s">
        <v>3780</v>
      </c>
      <c r="K564" s="17"/>
      <c r="L564" s="54">
        <v>0.16800000000000001</v>
      </c>
      <c r="M564" s="3"/>
      <c r="N564" s="39"/>
      <c r="O564" s="39">
        <f>1251.95/2</f>
        <v>625.97500000000002</v>
      </c>
      <c r="P564" s="39"/>
      <c r="Q564" s="39"/>
      <c r="R564" s="39">
        <f>1251.95/2</f>
        <v>625.97500000000002</v>
      </c>
      <c r="S564" s="39"/>
      <c r="T564" s="39"/>
      <c r="U564" s="39"/>
      <c r="V564" s="3"/>
      <c r="W564" s="60" t="s">
        <v>3088</v>
      </c>
    </row>
    <row r="565" spans="1:23" s="79" customFormat="1" ht="63.75" x14ac:dyDescent="0.2">
      <c r="A565" s="1" t="s">
        <v>47</v>
      </c>
      <c r="B565" s="2" t="s">
        <v>48</v>
      </c>
      <c r="C565" s="2" t="s">
        <v>49</v>
      </c>
      <c r="D565" s="2" t="s">
        <v>50</v>
      </c>
      <c r="E565" s="2">
        <v>2022</v>
      </c>
      <c r="F565" s="2" t="s">
        <v>1787</v>
      </c>
      <c r="G565" s="2" t="s">
        <v>3095</v>
      </c>
      <c r="H565" s="2" t="s">
        <v>3092</v>
      </c>
      <c r="I565" s="1" t="s">
        <v>14</v>
      </c>
      <c r="J565" s="1" t="s">
        <v>3781</v>
      </c>
      <c r="K565" s="17"/>
      <c r="L565" s="54">
        <v>0.16400000000000001</v>
      </c>
      <c r="M565" s="3"/>
      <c r="N565" s="39"/>
      <c r="O565" s="39">
        <f>1020.7/2</f>
        <v>510.35</v>
      </c>
      <c r="P565" s="39"/>
      <c r="Q565" s="39"/>
      <c r="R565" s="39">
        <f>1020.7/2</f>
        <v>510.35</v>
      </c>
      <c r="S565" s="39"/>
      <c r="T565" s="39"/>
      <c r="U565" s="39"/>
      <c r="V565" s="3"/>
      <c r="W565" s="60" t="s">
        <v>3088</v>
      </c>
    </row>
    <row r="566" spans="1:23" s="79" customFormat="1" ht="63.75" x14ac:dyDescent="0.2">
      <c r="A566" s="1" t="s">
        <v>47</v>
      </c>
      <c r="B566" s="2" t="s">
        <v>48</v>
      </c>
      <c r="C566" s="2" t="s">
        <v>49</v>
      </c>
      <c r="D566" s="2" t="s">
        <v>50</v>
      </c>
      <c r="E566" s="2">
        <v>2022</v>
      </c>
      <c r="F566" s="2" t="s">
        <v>1789</v>
      </c>
      <c r="G566" s="2" t="s">
        <v>3095</v>
      </c>
      <c r="H566" s="2" t="s">
        <v>3092</v>
      </c>
      <c r="I566" s="1" t="s">
        <v>14</v>
      </c>
      <c r="J566" s="1" t="s">
        <v>3782</v>
      </c>
      <c r="K566" s="17"/>
      <c r="L566" s="54">
        <v>0.158</v>
      </c>
      <c r="M566" s="3"/>
      <c r="N566" s="39"/>
      <c r="O566" s="39">
        <f>1032.7/2</f>
        <v>516.35</v>
      </c>
      <c r="P566" s="39"/>
      <c r="Q566" s="39"/>
      <c r="R566" s="39">
        <f>1032.7/2</f>
        <v>516.35</v>
      </c>
      <c r="S566" s="39"/>
      <c r="T566" s="39"/>
      <c r="U566" s="39"/>
      <c r="V566" s="3"/>
      <c r="W566" s="60" t="s">
        <v>3088</v>
      </c>
    </row>
    <row r="567" spans="1:23" s="79" customFormat="1" ht="63.75" x14ac:dyDescent="0.2">
      <c r="A567" s="1" t="s">
        <v>47</v>
      </c>
      <c r="B567" s="2" t="s">
        <v>48</v>
      </c>
      <c r="C567" s="2" t="s">
        <v>49</v>
      </c>
      <c r="D567" s="2" t="s">
        <v>50</v>
      </c>
      <c r="E567" s="2">
        <v>2022</v>
      </c>
      <c r="F567" s="2" t="s">
        <v>1791</v>
      </c>
      <c r="G567" s="2" t="s">
        <v>3095</v>
      </c>
      <c r="H567" s="2" t="s">
        <v>3092</v>
      </c>
      <c r="I567" s="1" t="s">
        <v>14</v>
      </c>
      <c r="J567" s="1" t="s">
        <v>3783</v>
      </c>
      <c r="K567" s="17"/>
      <c r="L567" s="54">
        <v>0.14799999999999999</v>
      </c>
      <c r="M567" s="3"/>
      <c r="N567" s="39"/>
      <c r="O567" s="39">
        <f>1133/2</f>
        <v>566.5</v>
      </c>
      <c r="P567" s="39"/>
      <c r="Q567" s="39"/>
      <c r="R567" s="39">
        <f>1133/2</f>
        <v>566.5</v>
      </c>
      <c r="S567" s="39"/>
      <c r="T567" s="39"/>
      <c r="U567" s="39"/>
      <c r="V567" s="3"/>
      <c r="W567" s="60" t="s">
        <v>3088</v>
      </c>
    </row>
    <row r="568" spans="1:23" s="79" customFormat="1" ht="63.75" x14ac:dyDescent="0.2">
      <c r="A568" s="1" t="s">
        <v>47</v>
      </c>
      <c r="B568" s="2" t="s">
        <v>48</v>
      </c>
      <c r="C568" s="2" t="s">
        <v>49</v>
      </c>
      <c r="D568" s="2" t="s">
        <v>50</v>
      </c>
      <c r="E568" s="2">
        <v>2022</v>
      </c>
      <c r="F568" s="2" t="s">
        <v>311</v>
      </c>
      <c r="G568" s="2" t="s">
        <v>3095</v>
      </c>
      <c r="H568" s="2" t="s">
        <v>3092</v>
      </c>
      <c r="I568" s="1" t="s">
        <v>14</v>
      </c>
      <c r="J568" s="1" t="s">
        <v>3784</v>
      </c>
      <c r="K568" s="17"/>
      <c r="L568" s="54">
        <v>0.153</v>
      </c>
      <c r="M568" s="3"/>
      <c r="N568" s="39"/>
      <c r="O568" s="39">
        <f>1330/2</f>
        <v>665</v>
      </c>
      <c r="P568" s="39"/>
      <c r="Q568" s="39"/>
      <c r="R568" s="39">
        <f>1330/2</f>
        <v>665</v>
      </c>
      <c r="S568" s="39"/>
      <c r="T568" s="39"/>
      <c r="U568" s="39"/>
      <c r="V568" s="3"/>
      <c r="W568" s="60" t="s">
        <v>3088</v>
      </c>
    </row>
    <row r="569" spans="1:23" s="79" customFormat="1" ht="63.75" x14ac:dyDescent="0.2">
      <c r="A569" s="1" t="s">
        <v>47</v>
      </c>
      <c r="B569" s="2" t="s">
        <v>48</v>
      </c>
      <c r="C569" s="2" t="s">
        <v>49</v>
      </c>
      <c r="D569" s="2" t="s">
        <v>50</v>
      </c>
      <c r="E569" s="2">
        <v>2022</v>
      </c>
      <c r="F569" s="2" t="s">
        <v>1794</v>
      </c>
      <c r="G569" s="2" t="s">
        <v>3095</v>
      </c>
      <c r="H569" s="2" t="s">
        <v>3092</v>
      </c>
      <c r="I569" s="1" t="s">
        <v>14</v>
      </c>
      <c r="J569" s="1" t="s">
        <v>3785</v>
      </c>
      <c r="K569" s="17"/>
      <c r="L569" s="54">
        <v>0.14599999999999999</v>
      </c>
      <c r="M569" s="3"/>
      <c r="N569" s="39"/>
      <c r="O569" s="39">
        <f>1101.6/2</f>
        <v>550.79999999999995</v>
      </c>
      <c r="P569" s="39"/>
      <c r="Q569" s="39"/>
      <c r="R569" s="39">
        <f>1101.6/2</f>
        <v>550.79999999999995</v>
      </c>
      <c r="S569" s="39"/>
      <c r="T569" s="39"/>
      <c r="U569" s="39"/>
      <c r="V569" s="3"/>
      <c r="W569" s="60" t="s">
        <v>3088</v>
      </c>
    </row>
    <row r="570" spans="1:23" s="79" customFormat="1" ht="63.75" x14ac:dyDescent="0.2">
      <c r="A570" s="1" t="s">
        <v>47</v>
      </c>
      <c r="B570" s="2" t="s">
        <v>48</v>
      </c>
      <c r="C570" s="2" t="s">
        <v>49</v>
      </c>
      <c r="D570" s="2" t="s">
        <v>50</v>
      </c>
      <c r="E570" s="2">
        <v>2022</v>
      </c>
      <c r="F570" s="2" t="s">
        <v>1796</v>
      </c>
      <c r="G570" s="2" t="s">
        <v>3095</v>
      </c>
      <c r="H570" s="2" t="s">
        <v>3092</v>
      </c>
      <c r="I570" s="1" t="s">
        <v>14</v>
      </c>
      <c r="J570" s="1" t="s">
        <v>3786</v>
      </c>
      <c r="K570" s="17"/>
      <c r="L570" s="54">
        <v>0.14799999999999999</v>
      </c>
      <c r="M570" s="3"/>
      <c r="N570" s="39"/>
      <c r="O570" s="39">
        <f>796.48/2</f>
        <v>398.24</v>
      </c>
      <c r="P570" s="39"/>
      <c r="Q570" s="39"/>
      <c r="R570" s="39">
        <f>796.48/2</f>
        <v>398.24</v>
      </c>
      <c r="S570" s="39"/>
      <c r="T570" s="39"/>
      <c r="U570" s="39"/>
      <c r="V570" s="3"/>
      <c r="W570" s="60" t="s">
        <v>3088</v>
      </c>
    </row>
    <row r="571" spans="1:23" s="79" customFormat="1" ht="63.75" x14ac:dyDescent="0.2">
      <c r="A571" s="1" t="s">
        <v>47</v>
      </c>
      <c r="B571" s="2" t="s">
        <v>48</v>
      </c>
      <c r="C571" s="2" t="s">
        <v>49</v>
      </c>
      <c r="D571" s="2" t="s">
        <v>50</v>
      </c>
      <c r="E571" s="2">
        <v>2022</v>
      </c>
      <c r="F571" s="2" t="s">
        <v>1798</v>
      </c>
      <c r="G571" s="2" t="s">
        <v>3095</v>
      </c>
      <c r="H571" s="2" t="s">
        <v>3092</v>
      </c>
      <c r="I571" s="1" t="s">
        <v>14</v>
      </c>
      <c r="J571" s="1" t="s">
        <v>3787</v>
      </c>
      <c r="K571" s="17"/>
      <c r="L571" s="80">
        <v>0.155</v>
      </c>
      <c r="M571" s="81"/>
      <c r="N571" s="15"/>
      <c r="O571" s="15">
        <f>796.48/2</f>
        <v>398.24</v>
      </c>
      <c r="P571" s="15"/>
      <c r="Q571" s="15"/>
      <c r="R571" s="15">
        <f>796.48/2</f>
        <v>398.24</v>
      </c>
      <c r="S571" s="15"/>
      <c r="T571" s="15"/>
      <c r="U571" s="39"/>
      <c r="V571" s="3"/>
      <c r="W571" s="60" t="s">
        <v>3088</v>
      </c>
    </row>
    <row r="572" spans="1:23" s="79" customFormat="1" ht="51" x14ac:dyDescent="0.2">
      <c r="A572" s="1" t="s">
        <v>112</v>
      </c>
      <c r="B572" s="2" t="s">
        <v>48</v>
      </c>
      <c r="C572" s="2" t="s">
        <v>49</v>
      </c>
      <c r="D572" s="2" t="s">
        <v>50</v>
      </c>
      <c r="E572" s="2">
        <v>2022</v>
      </c>
      <c r="F572" s="2" t="s">
        <v>1776</v>
      </c>
      <c r="G572" s="2" t="s">
        <v>3095</v>
      </c>
      <c r="H572" s="2" t="s">
        <v>3092</v>
      </c>
      <c r="I572" s="1" t="s">
        <v>14</v>
      </c>
      <c r="J572" s="1" t="s">
        <v>3788</v>
      </c>
      <c r="K572" s="17"/>
      <c r="L572" s="80">
        <v>0.1454</v>
      </c>
      <c r="M572" s="15"/>
      <c r="N572" s="15"/>
      <c r="O572" s="15"/>
      <c r="P572" s="15"/>
      <c r="Q572" s="15"/>
      <c r="R572" s="15">
        <f>895*0.8</f>
        <v>716</v>
      </c>
      <c r="S572" s="15"/>
      <c r="T572" s="15"/>
      <c r="U572" s="39"/>
      <c r="V572" s="3"/>
      <c r="W572" s="60" t="s">
        <v>3789</v>
      </c>
    </row>
    <row r="573" spans="1:23" s="79" customFormat="1" ht="51" x14ac:dyDescent="0.2">
      <c r="A573" s="1" t="s">
        <v>112</v>
      </c>
      <c r="B573" s="2" t="s">
        <v>48</v>
      </c>
      <c r="C573" s="2" t="s">
        <v>49</v>
      </c>
      <c r="D573" s="2" t="s">
        <v>50</v>
      </c>
      <c r="E573" s="2">
        <v>2022</v>
      </c>
      <c r="F573" s="2" t="s">
        <v>1779</v>
      </c>
      <c r="G573" s="2" t="s">
        <v>3095</v>
      </c>
      <c r="H573" s="2" t="s">
        <v>3092</v>
      </c>
      <c r="I573" s="1" t="s">
        <v>14</v>
      </c>
      <c r="J573" s="1" t="s">
        <v>3790</v>
      </c>
      <c r="K573" s="17"/>
      <c r="L573" s="80">
        <v>0.1424</v>
      </c>
      <c r="M573" s="15"/>
      <c r="N573" s="15"/>
      <c r="O573" s="15"/>
      <c r="P573" s="15"/>
      <c r="Q573" s="15"/>
      <c r="R573" s="15">
        <f>845*0.8</f>
        <v>676</v>
      </c>
      <c r="S573" s="15"/>
      <c r="T573" s="15"/>
      <c r="U573" s="39"/>
      <c r="V573" s="3"/>
      <c r="W573" s="60" t="s">
        <v>3789</v>
      </c>
    </row>
    <row r="574" spans="1:23" s="79" customFormat="1" ht="51" x14ac:dyDescent="0.2">
      <c r="A574" s="1" t="s">
        <v>112</v>
      </c>
      <c r="B574" s="2" t="s">
        <v>48</v>
      </c>
      <c r="C574" s="2" t="s">
        <v>49</v>
      </c>
      <c r="D574" s="2" t="s">
        <v>50</v>
      </c>
      <c r="E574" s="2">
        <v>2022</v>
      </c>
      <c r="F574" s="2" t="s">
        <v>1781</v>
      </c>
      <c r="G574" s="2" t="s">
        <v>3095</v>
      </c>
      <c r="H574" s="2" t="s">
        <v>3092</v>
      </c>
      <c r="I574" s="1" t="s">
        <v>14</v>
      </c>
      <c r="J574" s="1" t="s">
        <v>3791</v>
      </c>
      <c r="K574" s="17"/>
      <c r="L574" s="80">
        <v>0.14410000000000001</v>
      </c>
      <c r="M574" s="15"/>
      <c r="N574" s="15"/>
      <c r="O574" s="15"/>
      <c r="P574" s="15"/>
      <c r="Q574" s="15"/>
      <c r="R574" s="15">
        <f>1080*0.8</f>
        <v>864</v>
      </c>
      <c r="S574" s="15"/>
      <c r="T574" s="15"/>
      <c r="U574" s="39"/>
      <c r="V574" s="3"/>
      <c r="W574" s="60" t="s">
        <v>3789</v>
      </c>
    </row>
    <row r="575" spans="1:23" s="79" customFormat="1" ht="51" x14ac:dyDescent="0.2">
      <c r="A575" s="1" t="s">
        <v>112</v>
      </c>
      <c r="B575" s="2" t="s">
        <v>48</v>
      </c>
      <c r="C575" s="2" t="s">
        <v>49</v>
      </c>
      <c r="D575" s="2" t="s">
        <v>50</v>
      </c>
      <c r="E575" s="2">
        <v>2022</v>
      </c>
      <c r="F575" s="2" t="s">
        <v>1783</v>
      </c>
      <c r="G575" s="2" t="s">
        <v>3095</v>
      </c>
      <c r="H575" s="2" t="s">
        <v>3092</v>
      </c>
      <c r="I575" s="1" t="s">
        <v>14</v>
      </c>
      <c r="J575" s="1" t="s">
        <v>3792</v>
      </c>
      <c r="K575" s="17"/>
      <c r="L575" s="80">
        <v>0.14410000000000001</v>
      </c>
      <c r="M575" s="15"/>
      <c r="N575" s="15"/>
      <c r="O575" s="15"/>
      <c r="P575" s="15"/>
      <c r="Q575" s="15"/>
      <c r="R575" s="15">
        <f>760.14*0.8</f>
        <v>608.11199999999997</v>
      </c>
      <c r="S575" s="15"/>
      <c r="T575" s="15"/>
      <c r="U575" s="39"/>
      <c r="V575" s="3"/>
      <c r="W575" s="60" t="s">
        <v>3789</v>
      </c>
    </row>
    <row r="576" spans="1:23" s="79" customFormat="1" ht="51" x14ac:dyDescent="0.2">
      <c r="A576" s="1" t="s">
        <v>112</v>
      </c>
      <c r="B576" s="2" t="s">
        <v>48</v>
      </c>
      <c r="C576" s="2" t="s">
        <v>49</v>
      </c>
      <c r="D576" s="2" t="s">
        <v>50</v>
      </c>
      <c r="E576" s="2">
        <v>2022</v>
      </c>
      <c r="F576" s="2" t="s">
        <v>1785</v>
      </c>
      <c r="G576" s="2" t="s">
        <v>3095</v>
      </c>
      <c r="H576" s="2" t="s">
        <v>3092</v>
      </c>
      <c r="I576" s="1" t="s">
        <v>14</v>
      </c>
      <c r="J576" s="1" t="s">
        <v>3793</v>
      </c>
      <c r="K576" s="17"/>
      <c r="L576" s="80">
        <v>0.16439999999999999</v>
      </c>
      <c r="M576" s="15"/>
      <c r="N576" s="15"/>
      <c r="O576" s="15"/>
      <c r="P576" s="15"/>
      <c r="Q576" s="15"/>
      <c r="R576" s="15">
        <f>629*0.8</f>
        <v>503.20000000000005</v>
      </c>
      <c r="S576" s="15"/>
      <c r="T576" s="15"/>
      <c r="U576" s="39"/>
      <c r="V576" s="3"/>
      <c r="W576" s="60" t="s">
        <v>3789</v>
      </c>
    </row>
    <row r="577" spans="1:23" s="79" customFormat="1" ht="51" x14ac:dyDescent="0.2">
      <c r="A577" s="1" t="s">
        <v>112</v>
      </c>
      <c r="B577" s="2" t="s">
        <v>48</v>
      </c>
      <c r="C577" s="2" t="s">
        <v>49</v>
      </c>
      <c r="D577" s="2" t="s">
        <v>50</v>
      </c>
      <c r="E577" s="2">
        <v>2022</v>
      </c>
      <c r="F577" s="2" t="s">
        <v>1787</v>
      </c>
      <c r="G577" s="2" t="s">
        <v>3095</v>
      </c>
      <c r="H577" s="2" t="s">
        <v>3092</v>
      </c>
      <c r="I577" s="1" t="s">
        <v>14</v>
      </c>
      <c r="J577" s="1" t="s">
        <v>3794</v>
      </c>
      <c r="K577" s="17"/>
      <c r="L577" s="80">
        <v>0.158</v>
      </c>
      <c r="M577" s="15"/>
      <c r="N577" s="15"/>
      <c r="O577" s="15">
        <f>(703*0.8)/2</f>
        <v>281.2</v>
      </c>
      <c r="P577" s="15"/>
      <c r="Q577" s="15"/>
      <c r="R577" s="15">
        <f>(703*0.8)/2</f>
        <v>281.2</v>
      </c>
      <c r="S577" s="15"/>
      <c r="T577" s="15"/>
      <c r="U577" s="39"/>
      <c r="V577" s="3"/>
      <c r="W577" s="60" t="s">
        <v>3789</v>
      </c>
    </row>
    <row r="578" spans="1:23" s="79" customFormat="1" ht="51" x14ac:dyDescent="0.2">
      <c r="A578" s="1" t="s">
        <v>112</v>
      </c>
      <c r="B578" s="2" t="s">
        <v>48</v>
      </c>
      <c r="C578" s="2" t="s">
        <v>49</v>
      </c>
      <c r="D578" s="2" t="s">
        <v>50</v>
      </c>
      <c r="E578" s="2">
        <v>2022</v>
      </c>
      <c r="F578" s="2" t="s">
        <v>1789</v>
      </c>
      <c r="G578" s="2" t="s">
        <v>3095</v>
      </c>
      <c r="H578" s="2" t="s">
        <v>3092</v>
      </c>
      <c r="I578" s="1" t="s">
        <v>14</v>
      </c>
      <c r="J578" s="1" t="s">
        <v>3795</v>
      </c>
      <c r="K578" s="17"/>
      <c r="L578" s="80">
        <v>0.1547</v>
      </c>
      <c r="M578" s="15">
        <f>777*0.8/2</f>
        <v>310.8</v>
      </c>
      <c r="N578" s="81"/>
      <c r="O578" s="15">
        <f>777*0.8/2</f>
        <v>310.8</v>
      </c>
      <c r="P578" s="15"/>
      <c r="Q578" s="15"/>
      <c r="R578" s="15"/>
      <c r="S578" s="15"/>
      <c r="T578" s="15"/>
      <c r="U578" s="39"/>
      <c r="V578" s="3"/>
      <c r="W578" s="60" t="s">
        <v>3796</v>
      </c>
    </row>
    <row r="579" spans="1:23" s="79" customFormat="1" ht="63.75" x14ac:dyDescent="0.2">
      <c r="A579" s="1" t="s">
        <v>112</v>
      </c>
      <c r="B579" s="2" t="s">
        <v>48</v>
      </c>
      <c r="C579" s="2" t="s">
        <v>49</v>
      </c>
      <c r="D579" s="2" t="s">
        <v>50</v>
      </c>
      <c r="E579" s="2">
        <v>2022</v>
      </c>
      <c r="F579" s="2" t="s">
        <v>1791</v>
      </c>
      <c r="G579" s="2" t="s">
        <v>3095</v>
      </c>
      <c r="H579" s="2" t="s">
        <v>3092</v>
      </c>
      <c r="I579" s="1" t="s">
        <v>14</v>
      </c>
      <c r="J579" s="1" t="s">
        <v>3797</v>
      </c>
      <c r="K579" s="17"/>
      <c r="L579" s="80">
        <v>0.15049999999999999</v>
      </c>
      <c r="M579" s="15">
        <f>770*0.8/2</f>
        <v>308</v>
      </c>
      <c r="N579" s="81"/>
      <c r="O579" s="15">
        <f>770*0.8/2</f>
        <v>308</v>
      </c>
      <c r="P579" s="15"/>
      <c r="Q579" s="15"/>
      <c r="R579" s="15"/>
      <c r="S579" s="15"/>
      <c r="T579" s="15"/>
      <c r="U579" s="39"/>
      <c r="V579" s="3"/>
      <c r="W579" s="60" t="s">
        <v>3796</v>
      </c>
    </row>
    <row r="580" spans="1:23" s="79" customFormat="1" ht="51" x14ac:dyDescent="0.2">
      <c r="A580" s="1" t="s">
        <v>112</v>
      </c>
      <c r="B580" s="2" t="s">
        <v>48</v>
      </c>
      <c r="C580" s="2" t="s">
        <v>49</v>
      </c>
      <c r="D580" s="2" t="s">
        <v>50</v>
      </c>
      <c r="E580" s="2">
        <v>2022</v>
      </c>
      <c r="F580" s="2" t="s">
        <v>311</v>
      </c>
      <c r="G580" s="2" t="s">
        <v>3095</v>
      </c>
      <c r="H580" s="2" t="s">
        <v>3092</v>
      </c>
      <c r="I580" s="1" t="s">
        <v>14</v>
      </c>
      <c r="J580" s="1" t="s">
        <v>3798</v>
      </c>
      <c r="K580" s="17"/>
      <c r="L580" s="80">
        <v>0.14710000000000001</v>
      </c>
      <c r="M580" s="15"/>
      <c r="N580" s="15"/>
      <c r="O580" s="15">
        <f>546*0.8/2</f>
        <v>218.4</v>
      </c>
      <c r="P580" s="15"/>
      <c r="Q580" s="15"/>
      <c r="R580" s="15">
        <f>546*0.8/2</f>
        <v>218.4</v>
      </c>
      <c r="S580" s="15"/>
      <c r="T580" s="15"/>
      <c r="U580" s="39"/>
      <c r="V580" s="3"/>
      <c r="W580" s="60" t="s">
        <v>3789</v>
      </c>
    </row>
    <row r="581" spans="1:23" s="79" customFormat="1" ht="51" x14ac:dyDescent="0.2">
      <c r="A581" s="1" t="s">
        <v>112</v>
      </c>
      <c r="B581" s="2" t="s">
        <v>48</v>
      </c>
      <c r="C581" s="2" t="s">
        <v>49</v>
      </c>
      <c r="D581" s="2" t="s">
        <v>50</v>
      </c>
      <c r="E581" s="2">
        <v>2022</v>
      </c>
      <c r="F581" s="2" t="s">
        <v>1794</v>
      </c>
      <c r="G581" s="2" t="s">
        <v>3095</v>
      </c>
      <c r="H581" s="2" t="s">
        <v>3092</v>
      </c>
      <c r="I581" s="1" t="s">
        <v>14</v>
      </c>
      <c r="J581" s="1" t="s">
        <v>3799</v>
      </c>
      <c r="K581" s="17"/>
      <c r="L581" s="80">
        <v>0.1404</v>
      </c>
      <c r="M581" s="15"/>
      <c r="N581" s="15"/>
      <c r="O581" s="15"/>
      <c r="P581" s="15"/>
      <c r="Q581" s="15"/>
      <c r="R581" s="15">
        <f>624*0.8</f>
        <v>499.20000000000005</v>
      </c>
      <c r="S581" s="15"/>
      <c r="T581" s="15"/>
      <c r="U581" s="39"/>
      <c r="V581" s="3"/>
      <c r="W581" s="60" t="s">
        <v>3789</v>
      </c>
    </row>
    <row r="582" spans="1:23" s="79" customFormat="1" ht="51" x14ac:dyDescent="0.2">
      <c r="A582" s="1" t="s">
        <v>112</v>
      </c>
      <c r="B582" s="2" t="s">
        <v>48</v>
      </c>
      <c r="C582" s="2" t="s">
        <v>49</v>
      </c>
      <c r="D582" s="2" t="s">
        <v>50</v>
      </c>
      <c r="E582" s="2">
        <v>2022</v>
      </c>
      <c r="F582" s="2" t="s">
        <v>1796</v>
      </c>
      <c r="G582" s="2" t="s">
        <v>3095</v>
      </c>
      <c r="H582" s="2" t="s">
        <v>3092</v>
      </c>
      <c r="I582" s="1" t="s">
        <v>14</v>
      </c>
      <c r="J582" s="1" t="s">
        <v>3800</v>
      </c>
      <c r="K582" s="17"/>
      <c r="L582" s="80">
        <v>0.13800000000000001</v>
      </c>
      <c r="M582" s="15"/>
      <c r="N582" s="15"/>
      <c r="O582" s="15"/>
      <c r="P582" s="15"/>
      <c r="Q582" s="15"/>
      <c r="R582" s="15">
        <f>846.41*0.8</f>
        <v>677.12800000000004</v>
      </c>
      <c r="S582" s="15"/>
      <c r="T582" s="15"/>
      <c r="U582" s="39"/>
      <c r="V582" s="3"/>
      <c r="W582" s="60" t="s">
        <v>3789</v>
      </c>
    </row>
    <row r="583" spans="1:23" s="79" customFormat="1" ht="51" x14ac:dyDescent="0.2">
      <c r="A583" s="1" t="s">
        <v>112</v>
      </c>
      <c r="B583" s="2" t="s">
        <v>48</v>
      </c>
      <c r="C583" s="2" t="s">
        <v>49</v>
      </c>
      <c r="D583" s="2" t="s">
        <v>50</v>
      </c>
      <c r="E583" s="2">
        <v>2022</v>
      </c>
      <c r="F583" s="2" t="s">
        <v>1798</v>
      </c>
      <c r="G583" s="2" t="s">
        <v>3095</v>
      </c>
      <c r="H583" s="2" t="s">
        <v>3092</v>
      </c>
      <c r="I583" s="1" t="s">
        <v>14</v>
      </c>
      <c r="J583" s="1" t="s">
        <v>3801</v>
      </c>
      <c r="K583" s="17"/>
      <c r="L583" s="80">
        <v>0.1431</v>
      </c>
      <c r="M583" s="15"/>
      <c r="N583" s="15"/>
      <c r="O583" s="15"/>
      <c r="P583" s="15"/>
      <c r="Q583" s="15"/>
      <c r="R583" s="15">
        <f>661.29*0.8</f>
        <v>529.03200000000004</v>
      </c>
      <c r="S583" s="15"/>
      <c r="T583" s="15"/>
      <c r="U583" s="39"/>
      <c r="V583" s="39"/>
      <c r="W583" s="60" t="s">
        <v>3789</v>
      </c>
    </row>
    <row r="584" spans="1:23" s="79" customFormat="1" ht="51" x14ac:dyDescent="0.2">
      <c r="A584" s="1" t="s">
        <v>51</v>
      </c>
      <c r="B584" s="2" t="s">
        <v>48</v>
      </c>
      <c r="C584" s="2" t="s">
        <v>49</v>
      </c>
      <c r="D584" s="2" t="s">
        <v>50</v>
      </c>
      <c r="E584" s="2">
        <v>2022</v>
      </c>
      <c r="F584" s="2" t="s">
        <v>1776</v>
      </c>
      <c r="G584" s="2" t="s">
        <v>3095</v>
      </c>
      <c r="H584" s="2" t="s">
        <v>3092</v>
      </c>
      <c r="I584" s="1" t="s">
        <v>14</v>
      </c>
      <c r="J584" s="1" t="s">
        <v>3802</v>
      </c>
      <c r="K584" s="17"/>
      <c r="L584" s="54">
        <v>0.14799999999999999</v>
      </c>
      <c r="M584" s="39">
        <f>89*0.8/2</f>
        <v>35.6</v>
      </c>
      <c r="N584" s="39"/>
      <c r="O584" s="39">
        <f>89*0.8/2</f>
        <v>35.6</v>
      </c>
      <c r="P584" s="39"/>
      <c r="Q584" s="39"/>
      <c r="R584" s="39"/>
      <c r="S584" s="39"/>
      <c r="T584" s="39"/>
      <c r="U584" s="39"/>
      <c r="V584" s="39"/>
      <c r="W584" s="60" t="s">
        <v>2543</v>
      </c>
    </row>
    <row r="585" spans="1:23" s="79" customFormat="1" ht="51" x14ac:dyDescent="0.2">
      <c r="A585" s="1" t="s">
        <v>51</v>
      </c>
      <c r="B585" s="2" t="s">
        <v>48</v>
      </c>
      <c r="C585" s="2" t="s">
        <v>49</v>
      </c>
      <c r="D585" s="2" t="s">
        <v>50</v>
      </c>
      <c r="E585" s="2">
        <v>2022</v>
      </c>
      <c r="F585" s="2" t="s">
        <v>1779</v>
      </c>
      <c r="G585" s="2" t="s">
        <v>3095</v>
      </c>
      <c r="H585" s="2" t="s">
        <v>3092</v>
      </c>
      <c r="I585" s="1" t="s">
        <v>14</v>
      </c>
      <c r="J585" s="1" t="s">
        <v>3803</v>
      </c>
      <c r="K585" s="17"/>
      <c r="L585" s="54">
        <v>0.16700000000000001</v>
      </c>
      <c r="M585" s="39">
        <f>212*0.8/2</f>
        <v>84.800000000000011</v>
      </c>
      <c r="N585" s="39"/>
      <c r="O585" s="39">
        <f>212*0.8/2</f>
        <v>84.800000000000011</v>
      </c>
      <c r="P585" s="39"/>
      <c r="Q585" s="39"/>
      <c r="R585" s="39"/>
      <c r="S585" s="39"/>
      <c r="T585" s="39"/>
      <c r="U585" s="39"/>
      <c r="V585" s="39"/>
      <c r="W585" s="60" t="s">
        <v>2543</v>
      </c>
    </row>
    <row r="586" spans="1:23" s="79" customFormat="1" ht="51" x14ac:dyDescent="0.2">
      <c r="A586" s="1" t="s">
        <v>51</v>
      </c>
      <c r="B586" s="2" t="s">
        <v>48</v>
      </c>
      <c r="C586" s="2" t="s">
        <v>49</v>
      </c>
      <c r="D586" s="2" t="s">
        <v>50</v>
      </c>
      <c r="E586" s="2">
        <v>2022</v>
      </c>
      <c r="F586" s="2" t="s">
        <v>1781</v>
      </c>
      <c r="G586" s="2" t="s">
        <v>3095</v>
      </c>
      <c r="H586" s="2" t="s">
        <v>3092</v>
      </c>
      <c r="I586" s="1" t="s">
        <v>14</v>
      </c>
      <c r="J586" s="1" t="s">
        <v>3804</v>
      </c>
      <c r="K586" s="17"/>
      <c r="L586" s="54">
        <v>0.157</v>
      </c>
      <c r="M586" s="39">
        <f>197*0.8/2</f>
        <v>78.800000000000011</v>
      </c>
      <c r="N586" s="39"/>
      <c r="O586" s="39">
        <f>197*0.8/2</f>
        <v>78.800000000000011</v>
      </c>
      <c r="P586" s="39"/>
      <c r="Q586" s="39"/>
      <c r="R586" s="39"/>
      <c r="S586" s="39"/>
      <c r="T586" s="39"/>
      <c r="U586" s="39"/>
      <c r="V586" s="39"/>
      <c r="W586" s="60" t="s">
        <v>2543</v>
      </c>
    </row>
    <row r="587" spans="1:23" s="79" customFormat="1" ht="51" x14ac:dyDescent="0.2">
      <c r="A587" s="1" t="s">
        <v>51</v>
      </c>
      <c r="B587" s="2" t="s">
        <v>48</v>
      </c>
      <c r="C587" s="2" t="s">
        <v>49</v>
      </c>
      <c r="D587" s="2" t="s">
        <v>50</v>
      </c>
      <c r="E587" s="2">
        <v>2022</v>
      </c>
      <c r="F587" s="2" t="s">
        <v>1783</v>
      </c>
      <c r="G587" s="2" t="s">
        <v>3095</v>
      </c>
      <c r="H587" s="2" t="s">
        <v>3092</v>
      </c>
      <c r="I587" s="1" t="s">
        <v>14</v>
      </c>
      <c r="J587" s="1" t="s">
        <v>3805</v>
      </c>
      <c r="K587" s="17"/>
      <c r="L587" s="54">
        <v>0.16700000000000001</v>
      </c>
      <c r="M587" s="39">
        <f>188.5*0.8/2</f>
        <v>75.400000000000006</v>
      </c>
      <c r="N587" s="39"/>
      <c r="O587" s="39">
        <f>188.5*0.8/2</f>
        <v>75.400000000000006</v>
      </c>
      <c r="P587" s="39"/>
      <c r="Q587" s="39"/>
      <c r="R587" s="39"/>
      <c r="S587" s="39"/>
      <c r="T587" s="39"/>
      <c r="U587" s="39"/>
      <c r="V587" s="39"/>
      <c r="W587" s="60" t="s">
        <v>2543</v>
      </c>
    </row>
    <row r="588" spans="1:23" s="79" customFormat="1" ht="51" x14ac:dyDescent="0.2">
      <c r="A588" s="1" t="s">
        <v>51</v>
      </c>
      <c r="B588" s="2" t="s">
        <v>48</v>
      </c>
      <c r="C588" s="2" t="s">
        <v>49</v>
      </c>
      <c r="D588" s="2" t="s">
        <v>50</v>
      </c>
      <c r="E588" s="2">
        <v>2022</v>
      </c>
      <c r="F588" s="2" t="s">
        <v>1785</v>
      </c>
      <c r="G588" s="2" t="s">
        <v>3095</v>
      </c>
      <c r="H588" s="2" t="s">
        <v>3092</v>
      </c>
      <c r="I588" s="1" t="s">
        <v>14</v>
      </c>
      <c r="J588" s="1" t="s">
        <v>3806</v>
      </c>
      <c r="K588" s="17"/>
      <c r="L588" s="54">
        <v>0.17299999999999999</v>
      </c>
      <c r="M588" s="39">
        <f>186*0.8/2</f>
        <v>74.400000000000006</v>
      </c>
      <c r="N588" s="39"/>
      <c r="O588" s="39">
        <f>186*0.8/2</f>
        <v>74.400000000000006</v>
      </c>
      <c r="P588" s="39"/>
      <c r="Q588" s="39"/>
      <c r="R588" s="39"/>
      <c r="S588" s="39"/>
      <c r="T588" s="39"/>
      <c r="U588" s="39"/>
      <c r="V588" s="39"/>
      <c r="W588" s="60" t="s">
        <v>2543</v>
      </c>
    </row>
    <row r="589" spans="1:23" s="79" customFormat="1" ht="51" x14ac:dyDescent="0.2">
      <c r="A589" s="1" t="s">
        <v>51</v>
      </c>
      <c r="B589" s="2" t="s">
        <v>48</v>
      </c>
      <c r="C589" s="2" t="s">
        <v>49</v>
      </c>
      <c r="D589" s="2" t="s">
        <v>50</v>
      </c>
      <c r="E589" s="2">
        <v>2022</v>
      </c>
      <c r="F589" s="2" t="s">
        <v>1787</v>
      </c>
      <c r="G589" s="2" t="s">
        <v>3095</v>
      </c>
      <c r="H589" s="2" t="s">
        <v>3092</v>
      </c>
      <c r="I589" s="1" t="s">
        <v>14</v>
      </c>
      <c r="J589" s="1" t="s">
        <v>3807</v>
      </c>
      <c r="K589" s="17"/>
      <c r="L589" s="54">
        <v>0.15</v>
      </c>
      <c r="M589" s="39">
        <f>283*0.8/2</f>
        <v>113.2</v>
      </c>
      <c r="N589" s="39"/>
      <c r="O589" s="39">
        <f>283*0.8/2</f>
        <v>113.2</v>
      </c>
      <c r="P589" s="39"/>
      <c r="Q589" s="39"/>
      <c r="R589" s="39"/>
      <c r="S589" s="39"/>
      <c r="T589" s="39"/>
      <c r="U589" s="39"/>
      <c r="V589" s="39"/>
      <c r="W589" s="60" t="s">
        <v>2543</v>
      </c>
    </row>
    <row r="590" spans="1:23" s="79" customFormat="1" ht="51" x14ac:dyDescent="0.2">
      <c r="A590" s="1" t="s">
        <v>51</v>
      </c>
      <c r="B590" s="2" t="s">
        <v>48</v>
      </c>
      <c r="C590" s="2" t="s">
        <v>49</v>
      </c>
      <c r="D590" s="2" t="s">
        <v>50</v>
      </c>
      <c r="E590" s="2">
        <v>2022</v>
      </c>
      <c r="F590" s="2" t="s">
        <v>1789</v>
      </c>
      <c r="G590" s="2" t="s">
        <v>3095</v>
      </c>
      <c r="H590" s="2" t="s">
        <v>3092</v>
      </c>
      <c r="I590" s="1" t="s">
        <v>14</v>
      </c>
      <c r="J590" s="1" t="s">
        <v>3808</v>
      </c>
      <c r="K590" s="17"/>
      <c r="L590" s="54">
        <v>0.161</v>
      </c>
      <c r="M590" s="39">
        <f>182*0.8/2</f>
        <v>72.8</v>
      </c>
      <c r="N590" s="39"/>
      <c r="O590" s="39">
        <f>182*0.8/2</f>
        <v>72.8</v>
      </c>
      <c r="P590" s="39"/>
      <c r="Q590" s="39"/>
      <c r="R590" s="39"/>
      <c r="S590" s="39"/>
      <c r="T590" s="39"/>
      <c r="U590" s="39"/>
      <c r="V590" s="39"/>
      <c r="W590" s="60" t="s">
        <v>2543</v>
      </c>
    </row>
    <row r="591" spans="1:23" s="79" customFormat="1" ht="51" x14ac:dyDescent="0.2">
      <c r="A591" s="1" t="s">
        <v>51</v>
      </c>
      <c r="B591" s="2" t="s">
        <v>48</v>
      </c>
      <c r="C591" s="2" t="s">
        <v>49</v>
      </c>
      <c r="D591" s="2" t="s">
        <v>50</v>
      </c>
      <c r="E591" s="2">
        <v>2022</v>
      </c>
      <c r="F591" s="2" t="s">
        <v>1791</v>
      </c>
      <c r="G591" s="2" t="s">
        <v>3095</v>
      </c>
      <c r="H591" s="2" t="s">
        <v>3092</v>
      </c>
      <c r="I591" s="1" t="s">
        <v>14</v>
      </c>
      <c r="J591" s="1" t="s">
        <v>3809</v>
      </c>
      <c r="K591" s="17"/>
      <c r="L591" s="54">
        <v>0.185</v>
      </c>
      <c r="M591" s="39">
        <f>251*0.8/2</f>
        <v>100.4</v>
      </c>
      <c r="N591" s="39"/>
      <c r="O591" s="39">
        <f>251*0.8/2</f>
        <v>100.4</v>
      </c>
      <c r="P591" s="39"/>
      <c r="Q591" s="39"/>
      <c r="R591" s="39"/>
      <c r="S591" s="39"/>
      <c r="T591" s="39"/>
      <c r="U591" s="39"/>
      <c r="V591" s="39"/>
      <c r="W591" s="60" t="s">
        <v>2543</v>
      </c>
    </row>
    <row r="592" spans="1:23" s="79" customFormat="1" ht="51" x14ac:dyDescent="0.2">
      <c r="A592" s="1" t="s">
        <v>51</v>
      </c>
      <c r="B592" s="2" t="s">
        <v>48</v>
      </c>
      <c r="C592" s="2" t="s">
        <v>49</v>
      </c>
      <c r="D592" s="2" t="s">
        <v>50</v>
      </c>
      <c r="E592" s="2">
        <v>2022</v>
      </c>
      <c r="F592" s="2" t="s">
        <v>311</v>
      </c>
      <c r="G592" s="2" t="s">
        <v>3095</v>
      </c>
      <c r="H592" s="2" t="s">
        <v>3092</v>
      </c>
      <c r="I592" s="1" t="s">
        <v>14</v>
      </c>
      <c r="J592" s="1" t="s">
        <v>3810</v>
      </c>
      <c r="K592" s="17"/>
      <c r="L592" s="54">
        <v>0.17699999999999999</v>
      </c>
      <c r="M592" s="39">
        <f>192*0.8/2</f>
        <v>76.800000000000011</v>
      </c>
      <c r="N592" s="39"/>
      <c r="O592" s="39">
        <f>192*0.8/2</f>
        <v>76.800000000000011</v>
      </c>
      <c r="P592" s="39"/>
      <c r="Q592" s="39"/>
      <c r="R592" s="39"/>
      <c r="S592" s="39"/>
      <c r="T592" s="39"/>
      <c r="U592" s="39"/>
      <c r="V592" s="39"/>
      <c r="W592" s="60" t="s">
        <v>2543</v>
      </c>
    </row>
    <row r="593" spans="1:23" s="79" customFormat="1" ht="51" x14ac:dyDescent="0.2">
      <c r="A593" s="1" t="s">
        <v>51</v>
      </c>
      <c r="B593" s="2" t="s">
        <v>48</v>
      </c>
      <c r="C593" s="2" t="s">
        <v>49</v>
      </c>
      <c r="D593" s="2" t="s">
        <v>50</v>
      </c>
      <c r="E593" s="2">
        <v>2022</v>
      </c>
      <c r="F593" s="2" t="s">
        <v>1794</v>
      </c>
      <c r="G593" s="2" t="s">
        <v>3095</v>
      </c>
      <c r="H593" s="2" t="s">
        <v>3092</v>
      </c>
      <c r="I593" s="1" t="s">
        <v>14</v>
      </c>
      <c r="J593" s="1" t="s">
        <v>3811</v>
      </c>
      <c r="K593" s="17"/>
      <c r="L593" s="54">
        <v>0.17299999999999999</v>
      </c>
      <c r="M593" s="39">
        <f>152*0.8/2</f>
        <v>60.800000000000004</v>
      </c>
      <c r="N593" s="39"/>
      <c r="O593" s="39">
        <f>152*0.8/2</f>
        <v>60.800000000000004</v>
      </c>
      <c r="P593" s="39"/>
      <c r="Q593" s="39"/>
      <c r="R593" s="39"/>
      <c r="S593" s="39"/>
      <c r="T593" s="39"/>
      <c r="U593" s="39"/>
      <c r="V593" s="39"/>
      <c r="W593" s="60" t="s">
        <v>2543</v>
      </c>
    </row>
    <row r="594" spans="1:23" s="79" customFormat="1" ht="51" x14ac:dyDescent="0.2">
      <c r="A594" s="1" t="s">
        <v>51</v>
      </c>
      <c r="B594" s="2" t="s">
        <v>48</v>
      </c>
      <c r="C594" s="2" t="s">
        <v>49</v>
      </c>
      <c r="D594" s="2" t="s">
        <v>50</v>
      </c>
      <c r="E594" s="2">
        <v>2022</v>
      </c>
      <c r="F594" s="2" t="s">
        <v>1796</v>
      </c>
      <c r="G594" s="2" t="s">
        <v>3095</v>
      </c>
      <c r="H594" s="2" t="s">
        <v>3092</v>
      </c>
      <c r="I594" s="1" t="s">
        <v>14</v>
      </c>
      <c r="J594" s="1" t="s">
        <v>3812</v>
      </c>
      <c r="K594" s="17"/>
      <c r="L594" s="54">
        <v>0.156</v>
      </c>
      <c r="M594" s="39">
        <f>215*0.8/2</f>
        <v>86</v>
      </c>
      <c r="N594" s="39"/>
      <c r="O594" s="39">
        <f>215*0.8/2</f>
        <v>86</v>
      </c>
      <c r="P594" s="39"/>
      <c r="Q594" s="39"/>
      <c r="R594" s="39"/>
      <c r="S594" s="39"/>
      <c r="T594" s="39"/>
      <c r="U594" s="39"/>
      <c r="V594" s="39"/>
      <c r="W594" s="60" t="s">
        <v>2543</v>
      </c>
    </row>
    <row r="595" spans="1:23" s="79" customFormat="1" ht="51" x14ac:dyDescent="0.2">
      <c r="A595" s="1" t="s">
        <v>51</v>
      </c>
      <c r="B595" s="2" t="s">
        <v>48</v>
      </c>
      <c r="C595" s="2" t="s">
        <v>49</v>
      </c>
      <c r="D595" s="2" t="s">
        <v>50</v>
      </c>
      <c r="E595" s="2">
        <v>2022</v>
      </c>
      <c r="F595" s="2" t="s">
        <v>1798</v>
      </c>
      <c r="G595" s="2" t="s">
        <v>3095</v>
      </c>
      <c r="H595" s="2" t="s">
        <v>3092</v>
      </c>
      <c r="I595" s="1" t="s">
        <v>14</v>
      </c>
      <c r="J595" s="1" t="s">
        <v>3813</v>
      </c>
      <c r="K595" s="17"/>
      <c r="L595" s="54">
        <v>0.151</v>
      </c>
      <c r="M595" s="39">
        <f>184*0.8/2</f>
        <v>73.600000000000009</v>
      </c>
      <c r="N595" s="39"/>
      <c r="O595" s="39">
        <f>184*0.8/2</f>
        <v>73.600000000000009</v>
      </c>
      <c r="P595" s="39"/>
      <c r="Q595" s="39"/>
      <c r="R595" s="39"/>
      <c r="S595" s="39"/>
      <c r="T595" s="39"/>
      <c r="U595" s="39"/>
      <c r="V595" s="39"/>
      <c r="W595" s="60" t="s">
        <v>2543</v>
      </c>
    </row>
    <row r="596" spans="1:23" s="79" customFormat="1" ht="63.75" x14ac:dyDescent="0.2">
      <c r="A596" s="1" t="s">
        <v>3814</v>
      </c>
      <c r="B596" s="2" t="s">
        <v>196</v>
      </c>
      <c r="C596" s="2" t="s">
        <v>3815</v>
      </c>
      <c r="D596" s="2" t="s">
        <v>64</v>
      </c>
      <c r="E596" s="2">
        <v>2022</v>
      </c>
      <c r="F596" s="2" t="s">
        <v>1794</v>
      </c>
      <c r="G596" s="2" t="s">
        <v>3092</v>
      </c>
      <c r="H596" s="2" t="s">
        <v>3092</v>
      </c>
      <c r="I596" s="1" t="s">
        <v>3816</v>
      </c>
      <c r="J596" s="1" t="s">
        <v>3817</v>
      </c>
      <c r="K596" s="17"/>
      <c r="L596" s="54">
        <v>0.248</v>
      </c>
      <c r="M596" s="39"/>
      <c r="N596" s="39"/>
      <c r="O596" s="39">
        <f>138.77+421.14</f>
        <v>559.91</v>
      </c>
      <c r="P596" s="39"/>
      <c r="Q596" s="39"/>
      <c r="R596" s="39"/>
      <c r="S596" s="39"/>
      <c r="T596" s="39"/>
      <c r="U596" s="39"/>
      <c r="V596" s="39"/>
      <c r="W596" s="60" t="s">
        <v>1737</v>
      </c>
    </row>
    <row r="597" spans="1:23" s="79" customFormat="1" ht="25.5" x14ac:dyDescent="0.2">
      <c r="A597" s="1" t="s">
        <v>182</v>
      </c>
      <c r="B597" s="2" t="s">
        <v>29</v>
      </c>
      <c r="C597" s="2" t="s">
        <v>183</v>
      </c>
      <c r="D597" s="2" t="s">
        <v>184</v>
      </c>
      <c r="E597" s="2">
        <v>2022</v>
      </c>
      <c r="F597" s="2" t="s">
        <v>1776</v>
      </c>
      <c r="G597" s="2" t="s">
        <v>3095</v>
      </c>
      <c r="H597" s="2" t="s">
        <v>3092</v>
      </c>
      <c r="I597" s="1" t="s">
        <v>14</v>
      </c>
      <c r="J597" s="1" t="s">
        <v>3818</v>
      </c>
      <c r="K597" s="17"/>
      <c r="L597" s="54">
        <v>0.121</v>
      </c>
      <c r="M597" s="39"/>
      <c r="N597" s="39"/>
      <c r="O597" s="39"/>
      <c r="P597" s="39"/>
      <c r="Q597" s="39"/>
      <c r="R597" s="39">
        <v>78.83</v>
      </c>
      <c r="S597" s="39"/>
      <c r="T597" s="39"/>
      <c r="U597" s="39"/>
      <c r="V597" s="39"/>
      <c r="W597" s="60" t="s">
        <v>2566</v>
      </c>
    </row>
    <row r="598" spans="1:23" s="79" customFormat="1" ht="25.5" x14ac:dyDescent="0.2">
      <c r="A598" s="1" t="s">
        <v>182</v>
      </c>
      <c r="B598" s="2" t="s">
        <v>29</v>
      </c>
      <c r="C598" s="2" t="s">
        <v>183</v>
      </c>
      <c r="D598" s="2" t="s">
        <v>184</v>
      </c>
      <c r="E598" s="2">
        <v>2022</v>
      </c>
      <c r="F598" s="2" t="s">
        <v>1779</v>
      </c>
      <c r="G598" s="2" t="s">
        <v>3095</v>
      </c>
      <c r="H598" s="2" t="s">
        <v>3092</v>
      </c>
      <c r="I598" s="1" t="s">
        <v>14</v>
      </c>
      <c r="J598" s="1" t="s">
        <v>3819</v>
      </c>
      <c r="K598" s="17"/>
      <c r="L598" s="54">
        <v>0.12</v>
      </c>
      <c r="M598" s="39"/>
      <c r="N598" s="39"/>
      <c r="O598" s="39"/>
      <c r="P598" s="39"/>
      <c r="Q598" s="39"/>
      <c r="R598" s="39">
        <v>61.94</v>
      </c>
      <c r="S598" s="39"/>
      <c r="T598" s="39"/>
      <c r="U598" s="39"/>
      <c r="V598" s="39"/>
      <c r="W598" s="60" t="s">
        <v>2566</v>
      </c>
    </row>
    <row r="599" spans="1:23" s="79" customFormat="1" ht="25.5" x14ac:dyDescent="0.2">
      <c r="A599" s="1" t="s">
        <v>182</v>
      </c>
      <c r="B599" s="2" t="s">
        <v>29</v>
      </c>
      <c r="C599" s="2" t="s">
        <v>183</v>
      </c>
      <c r="D599" s="2" t="s">
        <v>184</v>
      </c>
      <c r="E599" s="2">
        <v>2022</v>
      </c>
      <c r="F599" s="2" t="s">
        <v>1781</v>
      </c>
      <c r="G599" s="2" t="s">
        <v>3095</v>
      </c>
      <c r="H599" s="2" t="s">
        <v>3092</v>
      </c>
      <c r="I599" s="1" t="s">
        <v>14</v>
      </c>
      <c r="J599" s="1" t="s">
        <v>3820</v>
      </c>
      <c r="K599" s="17"/>
      <c r="L599" s="54">
        <v>0.112</v>
      </c>
      <c r="M599" s="39"/>
      <c r="N599" s="39"/>
      <c r="O599" s="39"/>
      <c r="P599" s="39"/>
      <c r="Q599" s="39"/>
      <c r="R599" s="39">
        <v>70.56</v>
      </c>
      <c r="S599" s="39"/>
      <c r="T599" s="39"/>
      <c r="U599" s="39"/>
      <c r="V599" s="39"/>
      <c r="W599" s="60" t="s">
        <v>2566</v>
      </c>
    </row>
    <row r="600" spans="1:23" s="79" customFormat="1" ht="25.5" x14ac:dyDescent="0.2">
      <c r="A600" s="1" t="s">
        <v>182</v>
      </c>
      <c r="B600" s="2" t="s">
        <v>29</v>
      </c>
      <c r="C600" s="2" t="s">
        <v>183</v>
      </c>
      <c r="D600" s="2" t="s">
        <v>184</v>
      </c>
      <c r="E600" s="2">
        <v>2022</v>
      </c>
      <c r="F600" s="2" t="s">
        <v>1783</v>
      </c>
      <c r="G600" s="2" t="s">
        <v>3095</v>
      </c>
      <c r="H600" s="2" t="s">
        <v>3092</v>
      </c>
      <c r="I600" s="1" t="s">
        <v>14</v>
      </c>
      <c r="J600" s="1" t="s">
        <v>3821</v>
      </c>
      <c r="K600" s="17"/>
      <c r="L600" s="54">
        <v>0.1134</v>
      </c>
      <c r="M600" s="39"/>
      <c r="N600" s="39"/>
      <c r="O600" s="39"/>
      <c r="P600" s="39"/>
      <c r="Q600" s="39"/>
      <c r="R600" s="39">
        <v>63.51</v>
      </c>
      <c r="S600" s="39"/>
      <c r="T600" s="39"/>
      <c r="U600" s="39"/>
      <c r="V600" s="39"/>
      <c r="W600" s="60" t="s">
        <v>2566</v>
      </c>
    </row>
    <row r="601" spans="1:23" s="79" customFormat="1" ht="25.5" x14ac:dyDescent="0.2">
      <c r="A601" s="1" t="s">
        <v>182</v>
      </c>
      <c r="B601" s="2" t="s">
        <v>29</v>
      </c>
      <c r="C601" s="2" t="s">
        <v>183</v>
      </c>
      <c r="D601" s="2" t="s">
        <v>184</v>
      </c>
      <c r="E601" s="2">
        <v>2022</v>
      </c>
      <c r="F601" s="2" t="s">
        <v>1785</v>
      </c>
      <c r="G601" s="2" t="s">
        <v>3095</v>
      </c>
      <c r="H601" s="2" t="s">
        <v>3092</v>
      </c>
      <c r="I601" s="1" t="s">
        <v>14</v>
      </c>
      <c r="J601" s="1" t="s">
        <v>3822</v>
      </c>
      <c r="K601" s="17"/>
      <c r="L601" s="54">
        <v>9.9400000000000002E-2</v>
      </c>
      <c r="M601" s="39"/>
      <c r="N601" s="39"/>
      <c r="O601" s="39"/>
      <c r="P601" s="39"/>
      <c r="Q601" s="39"/>
      <c r="R601" s="39">
        <v>78.900000000000006</v>
      </c>
      <c r="S601" s="39"/>
      <c r="T601" s="39"/>
      <c r="U601" s="39"/>
      <c r="V601" s="39"/>
      <c r="W601" s="60" t="s">
        <v>2566</v>
      </c>
    </row>
    <row r="602" spans="1:23" s="79" customFormat="1" ht="25.5" x14ac:dyDescent="0.2">
      <c r="A602" s="1" t="s">
        <v>182</v>
      </c>
      <c r="B602" s="2" t="s">
        <v>29</v>
      </c>
      <c r="C602" s="2" t="s">
        <v>183</v>
      </c>
      <c r="D602" s="2" t="s">
        <v>184</v>
      </c>
      <c r="E602" s="2">
        <v>2022</v>
      </c>
      <c r="F602" s="2" t="s">
        <v>1787</v>
      </c>
      <c r="G602" s="2" t="s">
        <v>3095</v>
      </c>
      <c r="H602" s="2" t="s">
        <v>3092</v>
      </c>
      <c r="I602" s="1" t="s">
        <v>14</v>
      </c>
      <c r="J602" s="1" t="s">
        <v>3823</v>
      </c>
      <c r="K602" s="17"/>
      <c r="L602" s="54">
        <v>9.7299999999999998E-2</v>
      </c>
      <c r="M602" s="39"/>
      <c r="N602" s="39"/>
      <c r="O602" s="39"/>
      <c r="P602" s="39"/>
      <c r="Q602" s="39"/>
      <c r="R602" s="39">
        <v>96.11</v>
      </c>
      <c r="S602" s="39"/>
      <c r="T602" s="39"/>
      <c r="U602" s="39"/>
      <c r="V602" s="39"/>
      <c r="W602" s="60" t="s">
        <v>2566</v>
      </c>
    </row>
    <row r="603" spans="1:23" s="79" customFormat="1" ht="25.5" x14ac:dyDescent="0.2">
      <c r="A603" s="1" t="s">
        <v>182</v>
      </c>
      <c r="B603" s="2" t="s">
        <v>29</v>
      </c>
      <c r="C603" s="2" t="s">
        <v>183</v>
      </c>
      <c r="D603" s="2" t="s">
        <v>184</v>
      </c>
      <c r="E603" s="2">
        <v>2022</v>
      </c>
      <c r="F603" s="2" t="s">
        <v>1789</v>
      </c>
      <c r="G603" s="2" t="s">
        <v>3095</v>
      </c>
      <c r="H603" s="2" t="s">
        <v>3092</v>
      </c>
      <c r="I603" s="1" t="s">
        <v>14</v>
      </c>
      <c r="J603" s="1" t="s">
        <v>3824</v>
      </c>
      <c r="K603" s="17"/>
      <c r="L603" s="54">
        <v>0.11020000000000001</v>
      </c>
      <c r="M603" s="39"/>
      <c r="N603" s="39"/>
      <c r="O603" s="39"/>
      <c r="P603" s="39"/>
      <c r="Q603" s="39"/>
      <c r="R603" s="39">
        <v>76.17</v>
      </c>
      <c r="S603" s="39"/>
      <c r="T603" s="39"/>
      <c r="U603" s="39"/>
      <c r="V603" s="39"/>
      <c r="W603" s="60" t="s">
        <v>2566</v>
      </c>
    </row>
    <row r="604" spans="1:23" s="79" customFormat="1" ht="25.5" x14ac:dyDescent="0.2">
      <c r="A604" s="1" t="s">
        <v>182</v>
      </c>
      <c r="B604" s="2" t="s">
        <v>29</v>
      </c>
      <c r="C604" s="2" t="s">
        <v>183</v>
      </c>
      <c r="D604" s="2" t="s">
        <v>184</v>
      </c>
      <c r="E604" s="2">
        <v>2022</v>
      </c>
      <c r="F604" s="2" t="s">
        <v>1791</v>
      </c>
      <c r="G604" s="2" t="s">
        <v>3095</v>
      </c>
      <c r="H604" s="2" t="s">
        <v>3092</v>
      </c>
      <c r="I604" s="1" t="s">
        <v>14</v>
      </c>
      <c r="J604" s="1" t="s">
        <v>3825</v>
      </c>
      <c r="K604" s="17"/>
      <c r="L604" s="54">
        <v>0.1118</v>
      </c>
      <c r="M604" s="39"/>
      <c r="N604" s="39"/>
      <c r="O604" s="39"/>
      <c r="P604" s="39"/>
      <c r="Q604" s="39"/>
      <c r="R604" s="39">
        <v>46.6</v>
      </c>
      <c r="S604" s="39"/>
      <c r="T604" s="39"/>
      <c r="U604" s="39"/>
      <c r="V604" s="39"/>
      <c r="W604" s="60" t="s">
        <v>2566</v>
      </c>
    </row>
    <row r="605" spans="1:23" s="79" customFormat="1" ht="25.5" x14ac:dyDescent="0.2">
      <c r="A605" s="1" t="s">
        <v>182</v>
      </c>
      <c r="B605" s="2" t="s">
        <v>29</v>
      </c>
      <c r="C605" s="2" t="s">
        <v>183</v>
      </c>
      <c r="D605" s="2" t="s">
        <v>184</v>
      </c>
      <c r="E605" s="2">
        <v>2022</v>
      </c>
      <c r="F605" s="2" t="s">
        <v>311</v>
      </c>
      <c r="G605" s="2" t="s">
        <v>3095</v>
      </c>
      <c r="H605" s="2" t="s">
        <v>3092</v>
      </c>
      <c r="I605" s="1" t="s">
        <v>14</v>
      </c>
      <c r="J605" s="1" t="s">
        <v>3826</v>
      </c>
      <c r="K605" s="17"/>
      <c r="L605" s="54">
        <v>0.10050000000000001</v>
      </c>
      <c r="M605" s="39"/>
      <c r="N605" s="39"/>
      <c r="O605" s="39"/>
      <c r="P605" s="39"/>
      <c r="Q605" s="39"/>
      <c r="R605" s="39">
        <v>62.24</v>
      </c>
      <c r="S605" s="39"/>
      <c r="T605" s="39"/>
      <c r="U605" s="39"/>
      <c r="V605" s="39"/>
      <c r="W605" s="60" t="s">
        <v>2566</v>
      </c>
    </row>
    <row r="606" spans="1:23" s="79" customFormat="1" ht="25.5" x14ac:dyDescent="0.2">
      <c r="A606" s="1" t="s">
        <v>182</v>
      </c>
      <c r="B606" s="2" t="s">
        <v>29</v>
      </c>
      <c r="C606" s="2" t="s">
        <v>183</v>
      </c>
      <c r="D606" s="2" t="s">
        <v>184</v>
      </c>
      <c r="E606" s="2">
        <v>2022</v>
      </c>
      <c r="F606" s="2" t="s">
        <v>1794</v>
      </c>
      <c r="G606" s="2" t="s">
        <v>3095</v>
      </c>
      <c r="H606" s="2" t="s">
        <v>3092</v>
      </c>
      <c r="I606" s="1" t="s">
        <v>14</v>
      </c>
      <c r="J606" s="1" t="s">
        <v>3827</v>
      </c>
      <c r="K606" s="17"/>
      <c r="L606" s="54">
        <v>0.122</v>
      </c>
      <c r="M606" s="39"/>
      <c r="N606" s="39"/>
      <c r="O606" s="39"/>
      <c r="P606" s="39"/>
      <c r="Q606" s="39"/>
      <c r="R606" s="39">
        <v>60.47</v>
      </c>
      <c r="S606" s="39"/>
      <c r="T606" s="39"/>
      <c r="U606" s="39"/>
      <c r="V606" s="39"/>
      <c r="W606" s="60" t="s">
        <v>2566</v>
      </c>
    </row>
    <row r="607" spans="1:23" s="79" customFormat="1" ht="25.5" x14ac:dyDescent="0.2">
      <c r="A607" s="1" t="s">
        <v>182</v>
      </c>
      <c r="B607" s="2" t="s">
        <v>29</v>
      </c>
      <c r="C607" s="2" t="s">
        <v>183</v>
      </c>
      <c r="D607" s="2" t="s">
        <v>184</v>
      </c>
      <c r="E607" s="2">
        <v>2022</v>
      </c>
      <c r="F607" s="2" t="s">
        <v>1796</v>
      </c>
      <c r="G607" s="2" t="s">
        <v>3095</v>
      </c>
      <c r="H607" s="2" t="s">
        <v>3092</v>
      </c>
      <c r="I607" s="1" t="s">
        <v>14</v>
      </c>
      <c r="J607" s="1" t="s">
        <v>3828</v>
      </c>
      <c r="K607" s="17"/>
      <c r="L607" s="54">
        <v>0.127</v>
      </c>
      <c r="M607" s="39"/>
      <c r="N607" s="39"/>
      <c r="O607" s="39"/>
      <c r="P607" s="39"/>
      <c r="Q607" s="39"/>
      <c r="R607" s="39">
        <v>59.74</v>
      </c>
      <c r="S607" s="39"/>
      <c r="T607" s="39"/>
      <c r="U607" s="39"/>
      <c r="V607" s="39"/>
      <c r="W607" s="60" t="s">
        <v>2566</v>
      </c>
    </row>
    <row r="608" spans="1:23" s="79" customFormat="1" ht="25.5" x14ac:dyDescent="0.2">
      <c r="A608" s="1" t="s">
        <v>182</v>
      </c>
      <c r="B608" s="2" t="s">
        <v>29</v>
      </c>
      <c r="C608" s="2" t="s">
        <v>183</v>
      </c>
      <c r="D608" s="2" t="s">
        <v>184</v>
      </c>
      <c r="E608" s="2">
        <v>2022</v>
      </c>
      <c r="F608" s="2" t="s">
        <v>1798</v>
      </c>
      <c r="G608" s="2" t="s">
        <v>3095</v>
      </c>
      <c r="H608" s="2" t="s">
        <v>3092</v>
      </c>
      <c r="I608" s="1" t="s">
        <v>14</v>
      </c>
      <c r="J608" s="1" t="s">
        <v>3829</v>
      </c>
      <c r="K608" s="17"/>
      <c r="L608" s="54">
        <v>0.13569999999999999</v>
      </c>
      <c r="M608" s="39"/>
      <c r="N608" s="39"/>
      <c r="O608" s="39"/>
      <c r="P608" s="39"/>
      <c r="Q608" s="39"/>
      <c r="R608" s="39">
        <v>61.05</v>
      </c>
      <c r="S608" s="39"/>
      <c r="T608" s="39"/>
      <c r="U608" s="39"/>
      <c r="V608" s="39"/>
      <c r="W608" s="60" t="s">
        <v>2566</v>
      </c>
    </row>
    <row r="609" spans="1:23" s="79" customFormat="1" ht="38.25" x14ac:dyDescent="0.2">
      <c r="A609" s="1" t="s">
        <v>3830</v>
      </c>
      <c r="B609" s="2" t="s">
        <v>53</v>
      </c>
      <c r="C609" s="2" t="s">
        <v>3831</v>
      </c>
      <c r="D609" s="2" t="s">
        <v>2808</v>
      </c>
      <c r="E609" s="2">
        <v>2022</v>
      </c>
      <c r="F609" s="2" t="s">
        <v>1796</v>
      </c>
      <c r="G609" s="2" t="s">
        <v>3095</v>
      </c>
      <c r="H609" s="2" t="s">
        <v>3092</v>
      </c>
      <c r="I609" s="1" t="s">
        <v>14</v>
      </c>
      <c r="J609" s="1" t="s">
        <v>3832</v>
      </c>
      <c r="K609" s="17"/>
      <c r="L609" s="54"/>
      <c r="M609" s="39"/>
      <c r="N609" s="39"/>
      <c r="O609" s="39"/>
      <c r="P609" s="39"/>
      <c r="Q609" s="39"/>
      <c r="R609" s="39"/>
      <c r="S609" s="39"/>
      <c r="T609" s="39"/>
      <c r="U609" s="39"/>
      <c r="V609" s="39"/>
      <c r="W609" s="60"/>
    </row>
    <row r="610" spans="1:23" s="79" customFormat="1" ht="25.5" x14ac:dyDescent="0.2">
      <c r="A610" s="1" t="s">
        <v>3830</v>
      </c>
      <c r="B610" s="2" t="s">
        <v>53</v>
      </c>
      <c r="C610" s="2" t="s">
        <v>3831</v>
      </c>
      <c r="D610" s="2" t="s">
        <v>2808</v>
      </c>
      <c r="E610" s="2">
        <v>2022</v>
      </c>
      <c r="F610" s="2" t="s">
        <v>1798</v>
      </c>
      <c r="G610" s="2" t="s">
        <v>3095</v>
      </c>
      <c r="H610" s="2" t="s">
        <v>3092</v>
      </c>
      <c r="I610" s="1" t="s">
        <v>14</v>
      </c>
      <c r="J610" s="1" t="s">
        <v>3833</v>
      </c>
      <c r="K610" s="17"/>
      <c r="L610" s="54"/>
      <c r="M610" s="39"/>
      <c r="N610" s="39"/>
      <c r="O610" s="39"/>
      <c r="P610" s="39"/>
      <c r="Q610" s="39"/>
      <c r="R610" s="39"/>
      <c r="S610" s="39"/>
      <c r="T610" s="39"/>
      <c r="U610" s="39"/>
      <c r="V610" s="39"/>
      <c r="W610" s="60"/>
    </row>
    <row r="611" spans="1:23" s="79" customFormat="1" ht="38.25" x14ac:dyDescent="0.2">
      <c r="A611" s="1" t="s">
        <v>162</v>
      </c>
      <c r="B611" s="2" t="s">
        <v>163</v>
      </c>
      <c r="C611" s="2" t="s">
        <v>164</v>
      </c>
      <c r="D611" s="2" t="s">
        <v>92</v>
      </c>
      <c r="E611" s="2">
        <v>2022</v>
      </c>
      <c r="F611" s="2" t="s">
        <v>1785</v>
      </c>
      <c r="G611" s="2" t="s">
        <v>3092</v>
      </c>
      <c r="H611" s="2" t="s">
        <v>3093</v>
      </c>
      <c r="I611" s="1" t="s">
        <v>3834</v>
      </c>
      <c r="J611" s="1" t="s">
        <v>14</v>
      </c>
      <c r="K611" s="17"/>
      <c r="L611" s="54" t="s">
        <v>1670</v>
      </c>
      <c r="M611" s="39"/>
      <c r="N611" s="39"/>
      <c r="O611" s="39"/>
      <c r="P611" s="39"/>
      <c r="Q611" s="39"/>
      <c r="R611" s="39"/>
      <c r="S611" s="39"/>
      <c r="T611" s="39"/>
      <c r="U611" s="39"/>
      <c r="V611" s="39">
        <v>11.36</v>
      </c>
      <c r="W611" s="60" t="s">
        <v>3835</v>
      </c>
    </row>
    <row r="612" spans="1:23" s="79" customFormat="1" ht="38.25" x14ac:dyDescent="0.2">
      <c r="A612" s="1" t="s">
        <v>162</v>
      </c>
      <c r="B612" s="2" t="s">
        <v>163</v>
      </c>
      <c r="C612" s="2" t="s">
        <v>164</v>
      </c>
      <c r="D612" s="2" t="s">
        <v>92</v>
      </c>
      <c r="E612" s="2">
        <v>2022</v>
      </c>
      <c r="F612" s="2" t="s">
        <v>1787</v>
      </c>
      <c r="G612" s="2" t="s">
        <v>3092</v>
      </c>
      <c r="H612" s="2" t="s">
        <v>3093</v>
      </c>
      <c r="I612" s="1" t="s">
        <v>3836</v>
      </c>
      <c r="J612" s="1" t="s">
        <v>14</v>
      </c>
      <c r="K612" s="17"/>
      <c r="L612" s="54" t="s">
        <v>1670</v>
      </c>
      <c r="M612" s="39"/>
      <c r="N612" s="39"/>
      <c r="O612" s="39"/>
      <c r="P612" s="39"/>
      <c r="Q612" s="39"/>
      <c r="R612" s="39"/>
      <c r="S612" s="39"/>
      <c r="T612" s="39"/>
      <c r="U612" s="39"/>
      <c r="V612" s="39">
        <f t="shared" ref="V612:V618" si="0">3000*0.004546</f>
        <v>13.638</v>
      </c>
      <c r="W612" s="60" t="s">
        <v>3837</v>
      </c>
    </row>
    <row r="613" spans="1:23" s="79" customFormat="1" ht="38.25" x14ac:dyDescent="0.2">
      <c r="A613" s="1" t="s">
        <v>162</v>
      </c>
      <c r="B613" s="2" t="s">
        <v>163</v>
      </c>
      <c r="C613" s="2" t="s">
        <v>164</v>
      </c>
      <c r="D613" s="2" t="s">
        <v>92</v>
      </c>
      <c r="E613" s="2">
        <v>2022</v>
      </c>
      <c r="F613" s="2" t="s">
        <v>1789</v>
      </c>
      <c r="G613" s="2" t="s">
        <v>3092</v>
      </c>
      <c r="H613" s="2" t="s">
        <v>3093</v>
      </c>
      <c r="I613" s="1" t="s">
        <v>3838</v>
      </c>
      <c r="J613" s="1" t="s">
        <v>14</v>
      </c>
      <c r="K613" s="17"/>
      <c r="L613" s="54" t="s">
        <v>1670</v>
      </c>
      <c r="M613" s="39"/>
      <c r="N613" s="39"/>
      <c r="O613" s="39"/>
      <c r="P613" s="39"/>
      <c r="Q613" s="39"/>
      <c r="R613" s="39"/>
      <c r="S613" s="39"/>
      <c r="T613" s="39"/>
      <c r="U613" s="39"/>
      <c r="V613" s="39">
        <f t="shared" si="0"/>
        <v>13.638</v>
      </c>
      <c r="W613" s="60" t="s">
        <v>3837</v>
      </c>
    </row>
    <row r="614" spans="1:23" s="79" customFormat="1" ht="38.25" x14ac:dyDescent="0.2">
      <c r="A614" s="1" t="s">
        <v>162</v>
      </c>
      <c r="B614" s="2" t="s">
        <v>163</v>
      </c>
      <c r="C614" s="2" t="s">
        <v>164</v>
      </c>
      <c r="D614" s="2" t="s">
        <v>92</v>
      </c>
      <c r="E614" s="2">
        <v>2022</v>
      </c>
      <c r="F614" s="2" t="s">
        <v>1791</v>
      </c>
      <c r="G614" s="2" t="s">
        <v>3092</v>
      </c>
      <c r="H614" s="2" t="s">
        <v>3092</v>
      </c>
      <c r="I614" s="1" t="s">
        <v>3839</v>
      </c>
      <c r="J614" s="1" t="s">
        <v>3840</v>
      </c>
      <c r="K614" s="17"/>
      <c r="L614" s="54" t="s">
        <v>1670</v>
      </c>
      <c r="M614" s="39"/>
      <c r="N614" s="39"/>
      <c r="O614" s="39"/>
      <c r="P614" s="39"/>
      <c r="Q614" s="39"/>
      <c r="R614" s="39"/>
      <c r="S614" s="39"/>
      <c r="T614" s="39"/>
      <c r="U614" s="39"/>
      <c r="V614" s="39">
        <f t="shared" si="0"/>
        <v>13.638</v>
      </c>
      <c r="W614" s="60" t="s">
        <v>3837</v>
      </c>
    </row>
    <row r="615" spans="1:23" s="79" customFormat="1" ht="38.25" x14ac:dyDescent="0.2">
      <c r="A615" s="1" t="s">
        <v>162</v>
      </c>
      <c r="B615" s="2" t="s">
        <v>163</v>
      </c>
      <c r="C615" s="2" t="s">
        <v>164</v>
      </c>
      <c r="D615" s="2" t="s">
        <v>92</v>
      </c>
      <c r="E615" s="2">
        <v>2022</v>
      </c>
      <c r="F615" s="2" t="s">
        <v>311</v>
      </c>
      <c r="G615" s="2" t="s">
        <v>3092</v>
      </c>
      <c r="H615" s="2" t="s">
        <v>3092</v>
      </c>
      <c r="I615" s="1" t="s">
        <v>3841</v>
      </c>
      <c r="J615" s="1" t="s">
        <v>3842</v>
      </c>
      <c r="K615" s="17"/>
      <c r="L615" s="54" t="s">
        <v>1670</v>
      </c>
      <c r="M615" s="39"/>
      <c r="N615" s="39"/>
      <c r="O615" s="39"/>
      <c r="P615" s="39"/>
      <c r="Q615" s="39"/>
      <c r="R615" s="39"/>
      <c r="S615" s="39"/>
      <c r="T615" s="39"/>
      <c r="U615" s="39"/>
      <c r="V615" s="39">
        <f t="shared" si="0"/>
        <v>13.638</v>
      </c>
      <c r="W615" s="60" t="s">
        <v>3837</v>
      </c>
    </row>
    <row r="616" spans="1:23" s="79" customFormat="1" ht="38.25" x14ac:dyDescent="0.2">
      <c r="A616" s="1" t="s">
        <v>162</v>
      </c>
      <c r="B616" s="2" t="s">
        <v>163</v>
      </c>
      <c r="C616" s="2" t="s">
        <v>164</v>
      </c>
      <c r="D616" s="2" t="s">
        <v>92</v>
      </c>
      <c r="E616" s="2">
        <v>2022</v>
      </c>
      <c r="F616" s="2" t="s">
        <v>1794</v>
      </c>
      <c r="G616" s="2" t="s">
        <v>3092</v>
      </c>
      <c r="H616" s="2" t="s">
        <v>3092</v>
      </c>
      <c r="I616" s="1" t="s">
        <v>3843</v>
      </c>
      <c r="J616" s="1" t="s">
        <v>3844</v>
      </c>
      <c r="K616" s="17"/>
      <c r="L616" s="54" t="s">
        <v>1670</v>
      </c>
      <c r="M616" s="39"/>
      <c r="N616" s="39"/>
      <c r="O616" s="39"/>
      <c r="P616" s="39"/>
      <c r="Q616" s="39"/>
      <c r="R616" s="39"/>
      <c r="S616" s="39"/>
      <c r="T616" s="39"/>
      <c r="U616" s="39"/>
      <c r="V616" s="39">
        <f t="shared" si="0"/>
        <v>13.638</v>
      </c>
      <c r="W616" s="60" t="s">
        <v>3837</v>
      </c>
    </row>
    <row r="617" spans="1:23" s="79" customFormat="1" ht="38.25" x14ac:dyDescent="0.2">
      <c r="A617" s="1" t="s">
        <v>162</v>
      </c>
      <c r="B617" s="2" t="s">
        <v>163</v>
      </c>
      <c r="C617" s="2" t="s">
        <v>164</v>
      </c>
      <c r="D617" s="2" t="s">
        <v>92</v>
      </c>
      <c r="E617" s="2">
        <v>2022</v>
      </c>
      <c r="F617" s="2" t="s">
        <v>1796</v>
      </c>
      <c r="G617" s="2" t="s">
        <v>3092</v>
      </c>
      <c r="H617" s="2" t="s">
        <v>3092</v>
      </c>
      <c r="I617" s="1" t="s">
        <v>3843</v>
      </c>
      <c r="J617" s="1" t="s">
        <v>3844</v>
      </c>
      <c r="K617" s="17"/>
      <c r="L617" s="54" t="s">
        <v>1670</v>
      </c>
      <c r="M617" s="39"/>
      <c r="N617" s="39"/>
      <c r="O617" s="39"/>
      <c r="P617" s="39"/>
      <c r="Q617" s="39"/>
      <c r="R617" s="39"/>
      <c r="S617" s="39"/>
      <c r="T617" s="39"/>
      <c r="U617" s="39"/>
      <c r="V617" s="39">
        <f t="shared" si="0"/>
        <v>13.638</v>
      </c>
      <c r="W617" s="60" t="s">
        <v>3837</v>
      </c>
    </row>
    <row r="618" spans="1:23" s="79" customFormat="1" ht="38.25" x14ac:dyDescent="0.2">
      <c r="A618" s="1" t="s">
        <v>162</v>
      </c>
      <c r="B618" s="2" t="s">
        <v>163</v>
      </c>
      <c r="C618" s="2" t="s">
        <v>164</v>
      </c>
      <c r="D618" s="2" t="s">
        <v>92</v>
      </c>
      <c r="E618" s="2">
        <v>2022</v>
      </c>
      <c r="F618" s="2" t="s">
        <v>1798</v>
      </c>
      <c r="G618" s="2" t="s">
        <v>3092</v>
      </c>
      <c r="H618" s="2" t="s">
        <v>3092</v>
      </c>
      <c r="I618" s="1" t="s">
        <v>3843</v>
      </c>
      <c r="J618" s="1" t="s">
        <v>3844</v>
      </c>
      <c r="K618" s="17"/>
      <c r="L618" s="54" t="s">
        <v>1670</v>
      </c>
      <c r="M618" s="39"/>
      <c r="N618" s="39"/>
      <c r="O618" s="39"/>
      <c r="P618" s="39"/>
      <c r="Q618" s="39"/>
      <c r="R618" s="39"/>
      <c r="S618" s="39"/>
      <c r="T618" s="39"/>
      <c r="U618" s="39"/>
      <c r="V618" s="39">
        <f t="shared" si="0"/>
        <v>13.638</v>
      </c>
      <c r="W618" s="60" t="s">
        <v>3837</v>
      </c>
    </row>
    <row r="619" spans="1:23" s="79" customFormat="1" ht="102" x14ac:dyDescent="0.2">
      <c r="A619" s="1" t="s">
        <v>3845</v>
      </c>
      <c r="B619" s="2" t="s">
        <v>198</v>
      </c>
      <c r="C619" s="2" t="s">
        <v>3846</v>
      </c>
      <c r="D619" s="2" t="s">
        <v>33</v>
      </c>
      <c r="E619" s="2">
        <v>2022</v>
      </c>
      <c r="F619" s="2" t="s">
        <v>1796</v>
      </c>
      <c r="G619" s="2" t="s">
        <v>3092</v>
      </c>
      <c r="H619" s="2" t="s">
        <v>3092</v>
      </c>
      <c r="I619" s="1" t="s">
        <v>3847</v>
      </c>
      <c r="J619" s="1" t="s">
        <v>3848</v>
      </c>
      <c r="K619" s="17"/>
      <c r="L619" s="54">
        <v>2.7199999999999998E-2</v>
      </c>
      <c r="M619" s="39"/>
      <c r="N619" s="39"/>
      <c r="O619" s="39">
        <v>900.62</v>
      </c>
      <c r="P619" s="39"/>
      <c r="Q619" s="39"/>
      <c r="R619" s="39"/>
      <c r="S619" s="39"/>
      <c r="T619" s="39"/>
      <c r="U619" s="39"/>
      <c r="V619" s="39"/>
      <c r="W619" s="60" t="s">
        <v>1699</v>
      </c>
    </row>
    <row r="620" spans="1:23" s="79" customFormat="1" ht="25.5" x14ac:dyDescent="0.2">
      <c r="A620" s="1" t="s">
        <v>252</v>
      </c>
      <c r="B620" s="2" t="s">
        <v>48</v>
      </c>
      <c r="C620" s="2" t="s">
        <v>253</v>
      </c>
      <c r="D620" s="2" t="s">
        <v>239</v>
      </c>
      <c r="E620" s="2">
        <v>2022</v>
      </c>
      <c r="F620" s="2" t="s">
        <v>1785</v>
      </c>
      <c r="G620" s="2" t="s">
        <v>3095</v>
      </c>
      <c r="H620" s="2" t="s">
        <v>3092</v>
      </c>
      <c r="I620" s="1" t="s">
        <v>14</v>
      </c>
      <c r="J620" s="1" t="s">
        <v>3849</v>
      </c>
      <c r="K620" s="17"/>
      <c r="L620" s="54">
        <v>2.5000000000000001E-2</v>
      </c>
      <c r="M620" s="39"/>
      <c r="N620" s="39"/>
      <c r="O620" s="39">
        <v>332</v>
      </c>
      <c r="P620" s="39"/>
      <c r="Q620" s="39"/>
      <c r="R620" s="39"/>
      <c r="S620" s="39"/>
      <c r="T620" s="39"/>
      <c r="U620" s="39"/>
      <c r="V620" s="39"/>
      <c r="W620" s="60" t="s">
        <v>1699</v>
      </c>
    </row>
    <row r="621" spans="1:23" s="79" customFormat="1" ht="38.25" x14ac:dyDescent="0.2">
      <c r="A621" s="1" t="s">
        <v>252</v>
      </c>
      <c r="B621" s="2" t="s">
        <v>48</v>
      </c>
      <c r="C621" s="2" t="s">
        <v>253</v>
      </c>
      <c r="D621" s="2" t="s">
        <v>239</v>
      </c>
      <c r="E621" s="2">
        <v>2022</v>
      </c>
      <c r="F621" s="2" t="s">
        <v>1794</v>
      </c>
      <c r="G621" s="2" t="s">
        <v>3095</v>
      </c>
      <c r="H621" s="2" t="s">
        <v>3092</v>
      </c>
      <c r="I621" s="1" t="s">
        <v>14</v>
      </c>
      <c r="J621" s="1" t="s">
        <v>3850</v>
      </c>
      <c r="K621" s="17"/>
      <c r="L621" s="54">
        <v>2.5000000000000001E-2</v>
      </c>
      <c r="M621" s="39"/>
      <c r="N621" s="39"/>
      <c r="O621" s="39">
        <v>635</v>
      </c>
      <c r="P621" s="39"/>
      <c r="Q621" s="39"/>
      <c r="R621" s="39"/>
      <c r="S621" s="39"/>
      <c r="T621" s="39"/>
      <c r="U621" s="39"/>
      <c r="V621" s="39"/>
      <c r="W621" s="60" t="s">
        <v>1699</v>
      </c>
    </row>
    <row r="622" spans="1:23" s="79" customFormat="1" ht="25.5" x14ac:dyDescent="0.2">
      <c r="A622" s="1" t="s">
        <v>9</v>
      </c>
      <c r="B622" s="2" t="s">
        <v>10</v>
      </c>
      <c r="C622" s="2" t="s">
        <v>11</v>
      </c>
      <c r="D622" s="2" t="s">
        <v>12</v>
      </c>
      <c r="E622" s="2">
        <v>2022</v>
      </c>
      <c r="F622" s="2" t="s">
        <v>1776</v>
      </c>
      <c r="G622" s="2" t="s">
        <v>3095</v>
      </c>
      <c r="H622" s="2" t="s">
        <v>3092</v>
      </c>
      <c r="I622" s="1" t="s">
        <v>14</v>
      </c>
      <c r="J622" s="1" t="s">
        <v>2593</v>
      </c>
      <c r="K622" s="17"/>
      <c r="L622" s="54"/>
      <c r="M622" s="39"/>
      <c r="N622" s="39"/>
      <c r="O622" s="39"/>
      <c r="P622" s="39"/>
      <c r="Q622" s="39"/>
      <c r="R622" s="39"/>
      <c r="S622" s="39"/>
      <c r="T622" s="39"/>
      <c r="U622" s="39"/>
      <c r="V622" s="39"/>
      <c r="W622" s="60" t="s">
        <v>1735</v>
      </c>
    </row>
    <row r="623" spans="1:23" s="79" customFormat="1" ht="25.5" x14ac:dyDescent="0.2">
      <c r="A623" s="1" t="s">
        <v>9</v>
      </c>
      <c r="B623" s="2" t="s">
        <v>10</v>
      </c>
      <c r="C623" s="2" t="s">
        <v>11</v>
      </c>
      <c r="D623" s="2" t="s">
        <v>12</v>
      </c>
      <c r="E623" s="2">
        <v>2022</v>
      </c>
      <c r="F623" s="2" t="s">
        <v>1779</v>
      </c>
      <c r="G623" s="2" t="s">
        <v>3095</v>
      </c>
      <c r="H623" s="2" t="s">
        <v>3092</v>
      </c>
      <c r="I623" s="1" t="s">
        <v>14</v>
      </c>
      <c r="J623" s="1" t="s">
        <v>881</v>
      </c>
      <c r="K623" s="17"/>
      <c r="L623" s="54"/>
      <c r="M623" s="39"/>
      <c r="N623" s="39"/>
      <c r="O623" s="39"/>
      <c r="P623" s="39"/>
      <c r="Q623" s="39"/>
      <c r="R623" s="39"/>
      <c r="S623" s="39"/>
      <c r="T623" s="39"/>
      <c r="U623" s="39"/>
      <c r="V623" s="39"/>
      <c r="W623" s="60" t="s">
        <v>1735</v>
      </c>
    </row>
    <row r="624" spans="1:23" s="79" customFormat="1" ht="25.5" x14ac:dyDescent="0.2">
      <c r="A624" s="1" t="s">
        <v>9</v>
      </c>
      <c r="B624" s="2" t="s">
        <v>10</v>
      </c>
      <c r="C624" s="2" t="s">
        <v>11</v>
      </c>
      <c r="D624" s="2" t="s">
        <v>12</v>
      </c>
      <c r="E624" s="2">
        <v>2022</v>
      </c>
      <c r="F624" s="2" t="s">
        <v>1781</v>
      </c>
      <c r="G624" s="2" t="s">
        <v>3095</v>
      </c>
      <c r="H624" s="2" t="s">
        <v>3092</v>
      </c>
      <c r="I624" s="1" t="s">
        <v>14</v>
      </c>
      <c r="J624" s="1" t="s">
        <v>881</v>
      </c>
      <c r="K624" s="17"/>
      <c r="L624" s="54"/>
      <c r="M624" s="39"/>
      <c r="N624" s="39"/>
      <c r="O624" s="39"/>
      <c r="P624" s="39"/>
      <c r="Q624" s="39"/>
      <c r="R624" s="39"/>
      <c r="S624" s="39"/>
      <c r="T624" s="39"/>
      <c r="U624" s="39"/>
      <c r="V624" s="39"/>
      <c r="W624" s="60" t="s">
        <v>1735</v>
      </c>
    </row>
    <row r="625" spans="1:23" s="79" customFormat="1" ht="25.5" x14ac:dyDescent="0.2">
      <c r="A625" s="1" t="s">
        <v>9</v>
      </c>
      <c r="B625" s="2" t="s">
        <v>10</v>
      </c>
      <c r="C625" s="2" t="s">
        <v>11</v>
      </c>
      <c r="D625" s="2" t="s">
        <v>12</v>
      </c>
      <c r="E625" s="2">
        <v>2022</v>
      </c>
      <c r="F625" s="2" t="s">
        <v>1783</v>
      </c>
      <c r="G625" s="2" t="s">
        <v>3095</v>
      </c>
      <c r="H625" s="2" t="s">
        <v>3092</v>
      </c>
      <c r="I625" s="1" t="s">
        <v>14</v>
      </c>
      <c r="J625" s="1" t="s">
        <v>3851</v>
      </c>
      <c r="K625" s="17"/>
      <c r="L625" s="54"/>
      <c r="M625" s="39"/>
      <c r="N625" s="39"/>
      <c r="O625" s="39"/>
      <c r="P625" s="39"/>
      <c r="Q625" s="39"/>
      <c r="R625" s="39"/>
      <c r="S625" s="39"/>
      <c r="T625" s="39"/>
      <c r="U625" s="39"/>
      <c r="V625" s="39"/>
      <c r="W625" s="60" t="s">
        <v>1735</v>
      </c>
    </row>
    <row r="626" spans="1:23" s="79" customFormat="1" ht="25.5" x14ac:dyDescent="0.2">
      <c r="A626" s="1" t="s">
        <v>9</v>
      </c>
      <c r="B626" s="2" t="s">
        <v>10</v>
      </c>
      <c r="C626" s="2" t="s">
        <v>11</v>
      </c>
      <c r="D626" s="2" t="s">
        <v>12</v>
      </c>
      <c r="E626" s="2">
        <v>2022</v>
      </c>
      <c r="F626" s="2" t="s">
        <v>1785</v>
      </c>
      <c r="G626" s="2" t="s">
        <v>3095</v>
      </c>
      <c r="H626" s="2" t="s">
        <v>3092</v>
      </c>
      <c r="I626" s="1" t="s">
        <v>14</v>
      </c>
      <c r="J626" s="1" t="s">
        <v>3852</v>
      </c>
      <c r="K626" s="17"/>
      <c r="L626" s="54"/>
      <c r="M626" s="39"/>
      <c r="N626" s="39"/>
      <c r="O626" s="39"/>
      <c r="P626" s="39"/>
      <c r="Q626" s="39"/>
      <c r="R626" s="39"/>
      <c r="S626" s="39"/>
      <c r="T626" s="39"/>
      <c r="U626" s="39"/>
      <c r="V626" s="39"/>
      <c r="W626" s="60" t="s">
        <v>1735</v>
      </c>
    </row>
    <row r="627" spans="1:23" s="79" customFormat="1" ht="25.5" x14ac:dyDescent="0.2">
      <c r="A627" s="1" t="s">
        <v>9</v>
      </c>
      <c r="B627" s="2" t="s">
        <v>10</v>
      </c>
      <c r="C627" s="2" t="s">
        <v>11</v>
      </c>
      <c r="D627" s="2" t="s">
        <v>12</v>
      </c>
      <c r="E627" s="2">
        <v>2022</v>
      </c>
      <c r="F627" s="2" t="s">
        <v>1787</v>
      </c>
      <c r="G627" s="2" t="s">
        <v>3095</v>
      </c>
      <c r="H627" s="2" t="s">
        <v>3092</v>
      </c>
      <c r="I627" s="1" t="s">
        <v>14</v>
      </c>
      <c r="J627" s="1" t="s">
        <v>3853</v>
      </c>
      <c r="K627" s="17"/>
      <c r="L627" s="54"/>
      <c r="M627" s="39"/>
      <c r="N627" s="39"/>
      <c r="O627" s="39"/>
      <c r="P627" s="39"/>
      <c r="Q627" s="39"/>
      <c r="R627" s="39"/>
      <c r="S627" s="39"/>
      <c r="T627" s="39"/>
      <c r="U627" s="39"/>
      <c r="V627" s="39"/>
      <c r="W627" s="60" t="s">
        <v>1735</v>
      </c>
    </row>
    <row r="628" spans="1:23" s="79" customFormat="1" ht="25.5" x14ac:dyDescent="0.2">
      <c r="A628" s="1" t="s">
        <v>9</v>
      </c>
      <c r="B628" s="2" t="s">
        <v>10</v>
      </c>
      <c r="C628" s="2" t="s">
        <v>11</v>
      </c>
      <c r="D628" s="2" t="s">
        <v>12</v>
      </c>
      <c r="E628" s="2">
        <v>2022</v>
      </c>
      <c r="F628" s="2" t="s">
        <v>1789</v>
      </c>
      <c r="G628" s="2" t="s">
        <v>3095</v>
      </c>
      <c r="H628" s="2" t="s">
        <v>3092</v>
      </c>
      <c r="I628" s="1" t="s">
        <v>14</v>
      </c>
      <c r="J628" s="1" t="s">
        <v>3854</v>
      </c>
      <c r="K628" s="17"/>
      <c r="L628" s="54"/>
      <c r="M628" s="39"/>
      <c r="N628" s="39"/>
      <c r="O628" s="39"/>
      <c r="P628" s="39"/>
      <c r="Q628" s="39"/>
      <c r="R628" s="39"/>
      <c r="S628" s="39"/>
      <c r="T628" s="39"/>
      <c r="U628" s="39"/>
      <c r="V628" s="39"/>
      <c r="W628" s="60" t="s">
        <v>1735</v>
      </c>
    </row>
    <row r="629" spans="1:23" s="79" customFormat="1" ht="25.5" x14ac:dyDescent="0.2">
      <c r="A629" s="1" t="s">
        <v>9</v>
      </c>
      <c r="B629" s="2" t="s">
        <v>10</v>
      </c>
      <c r="C629" s="2" t="s">
        <v>11</v>
      </c>
      <c r="D629" s="2" t="s">
        <v>12</v>
      </c>
      <c r="E629" s="2">
        <v>2022</v>
      </c>
      <c r="F629" s="2" t="s">
        <v>1791</v>
      </c>
      <c r="G629" s="2" t="s">
        <v>3095</v>
      </c>
      <c r="H629" s="2" t="s">
        <v>3092</v>
      </c>
      <c r="I629" s="1" t="s">
        <v>14</v>
      </c>
      <c r="J629" s="1" t="s">
        <v>3855</v>
      </c>
      <c r="K629" s="17"/>
      <c r="L629" s="54"/>
      <c r="M629" s="39"/>
      <c r="N629" s="39"/>
      <c r="O629" s="39"/>
      <c r="P629" s="39"/>
      <c r="Q629" s="39"/>
      <c r="R629" s="39"/>
      <c r="S629" s="39"/>
      <c r="T629" s="39"/>
      <c r="U629" s="39"/>
      <c r="V629" s="39"/>
      <c r="W629" s="60" t="s">
        <v>1735</v>
      </c>
    </row>
    <row r="630" spans="1:23" s="79" customFormat="1" ht="25.5" x14ac:dyDescent="0.2">
      <c r="A630" s="1" t="s">
        <v>9</v>
      </c>
      <c r="B630" s="2" t="s">
        <v>10</v>
      </c>
      <c r="C630" s="2" t="s">
        <v>11</v>
      </c>
      <c r="D630" s="2" t="s">
        <v>12</v>
      </c>
      <c r="E630" s="2">
        <v>2022</v>
      </c>
      <c r="F630" s="2" t="s">
        <v>311</v>
      </c>
      <c r="G630" s="2" t="s">
        <v>3095</v>
      </c>
      <c r="H630" s="2" t="s">
        <v>3092</v>
      </c>
      <c r="I630" s="1" t="s">
        <v>14</v>
      </c>
      <c r="J630" s="1" t="s">
        <v>3856</v>
      </c>
      <c r="K630" s="17"/>
      <c r="L630" s="54"/>
      <c r="M630" s="39"/>
      <c r="N630" s="39"/>
      <c r="O630" s="39"/>
      <c r="P630" s="39"/>
      <c r="Q630" s="39"/>
      <c r="R630" s="39"/>
      <c r="S630" s="39"/>
      <c r="T630" s="39"/>
      <c r="U630" s="39"/>
      <c r="V630" s="39"/>
      <c r="W630" s="60" t="s">
        <v>1735</v>
      </c>
    </row>
    <row r="631" spans="1:23" s="79" customFormat="1" ht="25.5" x14ac:dyDescent="0.2">
      <c r="A631" s="1" t="s">
        <v>9</v>
      </c>
      <c r="B631" s="2" t="s">
        <v>10</v>
      </c>
      <c r="C631" s="2" t="s">
        <v>11</v>
      </c>
      <c r="D631" s="2" t="s">
        <v>12</v>
      </c>
      <c r="E631" s="2">
        <v>2022</v>
      </c>
      <c r="F631" s="2" t="s">
        <v>1794</v>
      </c>
      <c r="G631" s="2" t="s">
        <v>3095</v>
      </c>
      <c r="H631" s="2" t="s">
        <v>3092</v>
      </c>
      <c r="I631" s="1" t="s">
        <v>14</v>
      </c>
      <c r="J631" s="1" t="s">
        <v>3857</v>
      </c>
      <c r="K631" s="17"/>
      <c r="L631" s="54"/>
      <c r="M631" s="39"/>
      <c r="N631" s="39"/>
      <c r="O631" s="39"/>
      <c r="P631" s="39"/>
      <c r="Q631" s="39"/>
      <c r="R631" s="39"/>
      <c r="S631" s="39"/>
      <c r="T631" s="39"/>
      <c r="U631" s="39"/>
      <c r="V631" s="39"/>
      <c r="W631" s="60" t="s">
        <v>1735</v>
      </c>
    </row>
    <row r="632" spans="1:23" s="79" customFormat="1" ht="25.5" x14ac:dyDescent="0.2">
      <c r="A632" s="1" t="s">
        <v>9</v>
      </c>
      <c r="B632" s="2" t="s">
        <v>10</v>
      </c>
      <c r="C632" s="2" t="s">
        <v>11</v>
      </c>
      <c r="D632" s="2" t="s">
        <v>12</v>
      </c>
      <c r="E632" s="2">
        <v>2022</v>
      </c>
      <c r="F632" s="2" t="s">
        <v>1796</v>
      </c>
      <c r="G632" s="2" t="s">
        <v>3095</v>
      </c>
      <c r="H632" s="2" t="s">
        <v>3092</v>
      </c>
      <c r="I632" s="1" t="s">
        <v>14</v>
      </c>
      <c r="J632" s="1" t="s">
        <v>1046</v>
      </c>
      <c r="K632" s="17"/>
      <c r="L632" s="54"/>
      <c r="M632" s="39"/>
      <c r="N632" s="39"/>
      <c r="O632" s="39"/>
      <c r="P632" s="39"/>
      <c r="Q632" s="39"/>
      <c r="R632" s="39"/>
      <c r="S632" s="39"/>
      <c r="T632" s="39"/>
      <c r="U632" s="39"/>
      <c r="V632" s="39"/>
      <c r="W632" s="60" t="s">
        <v>1735</v>
      </c>
    </row>
    <row r="633" spans="1:23" s="79" customFormat="1" ht="25.5" x14ac:dyDescent="0.2">
      <c r="A633" s="1" t="s">
        <v>9</v>
      </c>
      <c r="B633" s="2" t="s">
        <v>10</v>
      </c>
      <c r="C633" s="2" t="s">
        <v>11</v>
      </c>
      <c r="D633" s="2" t="s">
        <v>12</v>
      </c>
      <c r="E633" s="2">
        <v>2022</v>
      </c>
      <c r="F633" s="2" t="s">
        <v>1798</v>
      </c>
      <c r="G633" s="2" t="s">
        <v>3095</v>
      </c>
      <c r="H633" s="2" t="s">
        <v>3092</v>
      </c>
      <c r="I633" s="1" t="s">
        <v>14</v>
      </c>
      <c r="J633" s="1" t="s">
        <v>3852</v>
      </c>
      <c r="K633" s="17"/>
      <c r="L633" s="54"/>
      <c r="M633" s="39"/>
      <c r="N633" s="39"/>
      <c r="O633" s="39"/>
      <c r="P633" s="39"/>
      <c r="Q633" s="39"/>
      <c r="R633" s="39"/>
      <c r="S633" s="39"/>
      <c r="T633" s="39"/>
      <c r="U633" s="39"/>
      <c r="V633" s="39"/>
      <c r="W633" s="60" t="s">
        <v>1735</v>
      </c>
    </row>
    <row r="634" spans="1:23" s="79" customFormat="1" ht="25.5" x14ac:dyDescent="0.2">
      <c r="A634" s="1" t="s">
        <v>227</v>
      </c>
      <c r="B634" s="2" t="s">
        <v>228</v>
      </c>
      <c r="C634" s="2" t="s">
        <v>229</v>
      </c>
      <c r="D634" s="2" t="s">
        <v>230</v>
      </c>
      <c r="E634" s="2">
        <v>2022</v>
      </c>
      <c r="F634" s="2" t="s">
        <v>1785</v>
      </c>
      <c r="G634" s="2" t="s">
        <v>3092</v>
      </c>
      <c r="H634" s="2" t="s">
        <v>3092</v>
      </c>
      <c r="I634" s="1" t="s">
        <v>3858</v>
      </c>
      <c r="J634" s="1" t="s">
        <v>3859</v>
      </c>
      <c r="K634" s="17"/>
      <c r="L634" s="54"/>
      <c r="M634" s="39"/>
      <c r="N634" s="39"/>
      <c r="O634" s="39"/>
      <c r="P634" s="39"/>
      <c r="Q634" s="39"/>
      <c r="R634" s="39"/>
      <c r="S634" s="39"/>
      <c r="T634" s="39"/>
      <c r="U634" s="39"/>
      <c r="V634" s="39"/>
      <c r="W634" s="60" t="s">
        <v>3860</v>
      </c>
    </row>
    <row r="635" spans="1:23" s="79" customFormat="1" ht="25.5" x14ac:dyDescent="0.2">
      <c r="A635" s="1" t="s">
        <v>185</v>
      </c>
      <c r="B635" s="2" t="s">
        <v>38</v>
      </c>
      <c r="C635" s="2" t="s">
        <v>186</v>
      </c>
      <c r="D635" s="2" t="s">
        <v>187</v>
      </c>
      <c r="E635" s="2">
        <v>2022</v>
      </c>
      <c r="F635" s="2" t="s">
        <v>1783</v>
      </c>
      <c r="G635" s="2" t="s">
        <v>3095</v>
      </c>
      <c r="H635" s="2" t="s">
        <v>3092</v>
      </c>
      <c r="I635" s="1" t="s">
        <v>14</v>
      </c>
      <c r="J635" s="1" t="s">
        <v>3861</v>
      </c>
      <c r="K635" s="17"/>
      <c r="L635" s="54"/>
      <c r="M635" s="39"/>
      <c r="N635" s="39"/>
      <c r="O635" s="39"/>
      <c r="P635" s="39"/>
      <c r="Q635" s="39"/>
      <c r="R635" s="39"/>
      <c r="S635" s="39"/>
      <c r="T635" s="39"/>
      <c r="U635" s="39"/>
      <c r="V635" s="39"/>
      <c r="W635" s="60" t="s">
        <v>1695</v>
      </c>
    </row>
    <row r="636" spans="1:23" s="79" customFormat="1" ht="25.5" x14ac:dyDescent="0.2">
      <c r="A636" s="1" t="s">
        <v>185</v>
      </c>
      <c r="B636" s="2" t="s">
        <v>38</v>
      </c>
      <c r="C636" s="2" t="s">
        <v>186</v>
      </c>
      <c r="D636" s="2" t="s">
        <v>187</v>
      </c>
      <c r="E636" s="2">
        <v>2022</v>
      </c>
      <c r="F636" s="2" t="s">
        <v>1787</v>
      </c>
      <c r="G636" s="2" t="s">
        <v>3095</v>
      </c>
      <c r="H636" s="2" t="s">
        <v>3092</v>
      </c>
      <c r="I636" s="1" t="s">
        <v>14</v>
      </c>
      <c r="J636" s="1" t="s">
        <v>3862</v>
      </c>
      <c r="K636" s="17"/>
      <c r="L636" s="54"/>
      <c r="M636" s="39"/>
      <c r="N636" s="39"/>
      <c r="O636" s="39"/>
      <c r="P636" s="39"/>
      <c r="Q636" s="39"/>
      <c r="R636" s="39"/>
      <c r="S636" s="39"/>
      <c r="T636" s="39"/>
      <c r="U636" s="39"/>
      <c r="V636" s="39"/>
      <c r="W636" s="60" t="s">
        <v>1695</v>
      </c>
    </row>
    <row r="637" spans="1:23" s="79" customFormat="1" ht="38.25" x14ac:dyDescent="0.2">
      <c r="A637" s="1" t="s">
        <v>137</v>
      </c>
      <c r="B637" s="2" t="s">
        <v>29</v>
      </c>
      <c r="C637" s="2" t="s">
        <v>138</v>
      </c>
      <c r="D637" s="2" t="s">
        <v>33</v>
      </c>
      <c r="E637" s="2">
        <v>2022</v>
      </c>
      <c r="F637" s="2" t="s">
        <v>1776</v>
      </c>
      <c r="G637" s="2" t="s">
        <v>3095</v>
      </c>
      <c r="H637" s="2" t="s">
        <v>3092</v>
      </c>
      <c r="I637" s="1" t="s">
        <v>14</v>
      </c>
      <c r="J637" s="1" t="s">
        <v>3863</v>
      </c>
      <c r="K637" s="17"/>
      <c r="L637" s="54">
        <v>0.19800000000000001</v>
      </c>
      <c r="M637" s="39"/>
      <c r="N637" s="39"/>
      <c r="O637" s="39">
        <v>25.62</v>
      </c>
      <c r="P637" s="39"/>
      <c r="Q637" s="39"/>
      <c r="R637" s="39"/>
      <c r="S637" s="39"/>
      <c r="T637" s="39"/>
      <c r="U637" s="39"/>
      <c r="V637" s="39"/>
      <c r="W637" s="60"/>
    </row>
    <row r="638" spans="1:23" s="79" customFormat="1" ht="38.25" x14ac:dyDescent="0.2">
      <c r="A638" s="1" t="s">
        <v>137</v>
      </c>
      <c r="B638" s="2" t="s">
        <v>29</v>
      </c>
      <c r="C638" s="2" t="s">
        <v>138</v>
      </c>
      <c r="D638" s="2" t="s">
        <v>33</v>
      </c>
      <c r="E638" s="2">
        <v>2022</v>
      </c>
      <c r="F638" s="2" t="s">
        <v>1779</v>
      </c>
      <c r="G638" s="2" t="s">
        <v>3095</v>
      </c>
      <c r="H638" s="2" t="s">
        <v>3092</v>
      </c>
      <c r="I638" s="1" t="s">
        <v>14</v>
      </c>
      <c r="J638" s="1" t="s">
        <v>3864</v>
      </c>
      <c r="K638" s="17"/>
      <c r="L638" s="54">
        <v>0.20599999999999999</v>
      </c>
      <c r="M638" s="39"/>
      <c r="N638" s="39"/>
      <c r="O638" s="39">
        <v>31.23</v>
      </c>
      <c r="P638" s="39"/>
      <c r="Q638" s="39"/>
      <c r="R638" s="39"/>
      <c r="S638" s="39"/>
      <c r="T638" s="39"/>
      <c r="U638" s="39"/>
      <c r="V638" s="39"/>
      <c r="W638" s="60"/>
    </row>
    <row r="639" spans="1:23" s="79" customFormat="1" ht="38.25" x14ac:dyDescent="0.2">
      <c r="A639" s="1" t="s">
        <v>137</v>
      </c>
      <c r="B639" s="2" t="s">
        <v>29</v>
      </c>
      <c r="C639" s="2" t="s">
        <v>138</v>
      </c>
      <c r="D639" s="2" t="s">
        <v>33</v>
      </c>
      <c r="E639" s="2">
        <v>2022</v>
      </c>
      <c r="F639" s="2" t="s">
        <v>1781</v>
      </c>
      <c r="G639" s="2" t="s">
        <v>3095</v>
      </c>
      <c r="H639" s="2" t="s">
        <v>3092</v>
      </c>
      <c r="I639" s="1" t="s">
        <v>14</v>
      </c>
      <c r="J639" s="1" t="s">
        <v>3865</v>
      </c>
      <c r="K639" s="17"/>
      <c r="L639" s="54">
        <v>0.218</v>
      </c>
      <c r="M639" s="39"/>
      <c r="N639" s="39"/>
      <c r="O639" s="39">
        <v>30.92</v>
      </c>
      <c r="P639" s="39"/>
      <c r="Q639" s="39"/>
      <c r="R639" s="39"/>
      <c r="S639" s="39"/>
      <c r="T639" s="39"/>
      <c r="U639" s="39"/>
      <c r="V639" s="39"/>
      <c r="W639" s="60"/>
    </row>
    <row r="640" spans="1:23" s="79" customFormat="1" ht="38.25" x14ac:dyDescent="0.2">
      <c r="A640" s="1" t="s">
        <v>137</v>
      </c>
      <c r="B640" s="2" t="s">
        <v>29</v>
      </c>
      <c r="C640" s="2" t="s">
        <v>138</v>
      </c>
      <c r="D640" s="2" t="s">
        <v>33</v>
      </c>
      <c r="E640" s="2">
        <v>2022</v>
      </c>
      <c r="F640" s="2" t="s">
        <v>1783</v>
      </c>
      <c r="G640" s="2" t="s">
        <v>3095</v>
      </c>
      <c r="H640" s="2" t="s">
        <v>3092</v>
      </c>
      <c r="I640" s="1" t="s">
        <v>14</v>
      </c>
      <c r="J640" s="1" t="s">
        <v>3866</v>
      </c>
      <c r="K640" s="17"/>
      <c r="L640" s="54">
        <v>0.26600000000000001</v>
      </c>
      <c r="M640" s="39"/>
      <c r="N640" s="39"/>
      <c r="O640" s="39">
        <v>12.94</v>
      </c>
      <c r="P640" s="39"/>
      <c r="Q640" s="39"/>
      <c r="R640" s="39"/>
      <c r="S640" s="39"/>
      <c r="T640" s="39"/>
      <c r="U640" s="39"/>
      <c r="V640" s="39"/>
      <c r="W640" s="60"/>
    </row>
    <row r="641" spans="1:23" s="79" customFormat="1" ht="38.25" x14ac:dyDescent="0.2">
      <c r="A641" s="1" t="s">
        <v>137</v>
      </c>
      <c r="B641" s="2" t="s">
        <v>29</v>
      </c>
      <c r="C641" s="2" t="s">
        <v>138</v>
      </c>
      <c r="D641" s="2" t="s">
        <v>33</v>
      </c>
      <c r="E641" s="2">
        <v>2022</v>
      </c>
      <c r="F641" s="2" t="s">
        <v>1785</v>
      </c>
      <c r="G641" s="2" t="s">
        <v>3095</v>
      </c>
      <c r="H641" s="2" t="s">
        <v>3092</v>
      </c>
      <c r="I641" s="1" t="s">
        <v>14</v>
      </c>
      <c r="J641" s="1" t="s">
        <v>3867</v>
      </c>
      <c r="K641" s="17"/>
      <c r="L641" s="54">
        <v>0.25</v>
      </c>
      <c r="M641" s="39"/>
      <c r="N641" s="39"/>
      <c r="O641" s="39">
        <v>89.71</v>
      </c>
      <c r="P641" s="39"/>
      <c r="Q641" s="39"/>
      <c r="R641" s="39"/>
      <c r="S641" s="39"/>
      <c r="T641" s="39"/>
      <c r="U641" s="39"/>
      <c r="V641" s="39"/>
      <c r="W641" s="60"/>
    </row>
    <row r="642" spans="1:23" s="79" customFormat="1" ht="38.25" x14ac:dyDescent="0.2">
      <c r="A642" s="1" t="s">
        <v>137</v>
      </c>
      <c r="B642" s="2" t="s">
        <v>29</v>
      </c>
      <c r="C642" s="2" t="s">
        <v>138</v>
      </c>
      <c r="D642" s="2" t="s">
        <v>33</v>
      </c>
      <c r="E642" s="2">
        <v>2022</v>
      </c>
      <c r="F642" s="2" t="s">
        <v>1787</v>
      </c>
      <c r="G642" s="2" t="s">
        <v>3095</v>
      </c>
      <c r="H642" s="2" t="s">
        <v>3092</v>
      </c>
      <c r="I642" s="1" t="s">
        <v>14</v>
      </c>
      <c r="J642" s="1" t="s">
        <v>3868</v>
      </c>
      <c r="K642" s="17"/>
      <c r="L642" s="54">
        <v>0.27400000000000002</v>
      </c>
      <c r="M642" s="39"/>
      <c r="N642" s="39"/>
      <c r="O642" s="39">
        <v>49.64</v>
      </c>
      <c r="P642" s="39"/>
      <c r="Q642" s="39"/>
      <c r="R642" s="39"/>
      <c r="S642" s="39"/>
      <c r="T642" s="39"/>
      <c r="U642" s="39"/>
      <c r="V642" s="39"/>
      <c r="W642" s="60"/>
    </row>
    <row r="643" spans="1:23" s="79" customFormat="1" ht="38.25" x14ac:dyDescent="0.2">
      <c r="A643" s="1" t="s">
        <v>137</v>
      </c>
      <c r="B643" s="2" t="s">
        <v>29</v>
      </c>
      <c r="C643" s="2" t="s">
        <v>138</v>
      </c>
      <c r="D643" s="2" t="s">
        <v>33</v>
      </c>
      <c r="E643" s="2">
        <v>2022</v>
      </c>
      <c r="F643" s="2" t="s">
        <v>1789</v>
      </c>
      <c r="G643" s="2" t="s">
        <v>3095</v>
      </c>
      <c r="H643" s="2" t="s">
        <v>3092</v>
      </c>
      <c r="I643" s="1" t="s">
        <v>14</v>
      </c>
      <c r="J643" s="1" t="s">
        <v>3869</v>
      </c>
      <c r="K643" s="17"/>
      <c r="L643" s="54">
        <v>0.29299999999999998</v>
      </c>
      <c r="M643" s="39"/>
      <c r="N643" s="39"/>
      <c r="O643" s="39">
        <v>102.37</v>
      </c>
      <c r="P643" s="39"/>
      <c r="Q643" s="39"/>
      <c r="R643" s="39"/>
      <c r="S643" s="39"/>
      <c r="T643" s="39"/>
      <c r="U643" s="39"/>
      <c r="V643" s="39"/>
      <c r="W643" s="60"/>
    </row>
    <row r="644" spans="1:23" s="79" customFormat="1" ht="38.25" x14ac:dyDescent="0.2">
      <c r="A644" s="1" t="s">
        <v>137</v>
      </c>
      <c r="B644" s="2" t="s">
        <v>29</v>
      </c>
      <c r="C644" s="2" t="s">
        <v>138</v>
      </c>
      <c r="D644" s="2" t="s">
        <v>33</v>
      </c>
      <c r="E644" s="2">
        <v>2022</v>
      </c>
      <c r="F644" s="2" t="s">
        <v>1791</v>
      </c>
      <c r="G644" s="2" t="s">
        <v>3095</v>
      </c>
      <c r="H644" s="2" t="s">
        <v>3092</v>
      </c>
      <c r="I644" s="1" t="s">
        <v>14</v>
      </c>
      <c r="J644" s="1" t="s">
        <v>3870</v>
      </c>
      <c r="K644" s="17"/>
      <c r="L644" s="54">
        <v>0.318</v>
      </c>
      <c r="M644" s="39"/>
      <c r="N644" s="39"/>
      <c r="O644" s="39">
        <v>222.28</v>
      </c>
      <c r="P644" s="39"/>
      <c r="Q644" s="39"/>
      <c r="R644" s="39"/>
      <c r="S644" s="39"/>
      <c r="T644" s="39"/>
      <c r="U644" s="39"/>
      <c r="V644" s="39"/>
      <c r="W644" s="60"/>
    </row>
    <row r="645" spans="1:23" s="79" customFormat="1" ht="38.25" x14ac:dyDescent="0.2">
      <c r="A645" s="1" t="s">
        <v>137</v>
      </c>
      <c r="B645" s="2" t="s">
        <v>29</v>
      </c>
      <c r="C645" s="2" t="s">
        <v>138</v>
      </c>
      <c r="D645" s="2" t="s">
        <v>33</v>
      </c>
      <c r="E645" s="2">
        <v>2022</v>
      </c>
      <c r="F645" s="2" t="s">
        <v>311</v>
      </c>
      <c r="G645" s="2" t="s">
        <v>3095</v>
      </c>
      <c r="H645" s="2" t="s">
        <v>3092</v>
      </c>
      <c r="I645" s="1" t="s">
        <v>14</v>
      </c>
      <c r="J645" s="1" t="s">
        <v>3871</v>
      </c>
      <c r="K645" s="17"/>
      <c r="L645" s="54">
        <v>0.33800000000000002</v>
      </c>
      <c r="M645" s="39"/>
      <c r="N645" s="39"/>
      <c r="O645" s="39">
        <v>164.34</v>
      </c>
      <c r="P645" s="39"/>
      <c r="Q645" s="39"/>
      <c r="R645" s="39"/>
      <c r="S645" s="39"/>
      <c r="T645" s="39"/>
      <c r="U645" s="39"/>
      <c r="V645" s="39"/>
      <c r="W645" s="60"/>
    </row>
    <row r="646" spans="1:23" s="79" customFormat="1" ht="38.25" x14ac:dyDescent="0.2">
      <c r="A646" s="1" t="s">
        <v>137</v>
      </c>
      <c r="B646" s="2" t="s">
        <v>29</v>
      </c>
      <c r="C646" s="2" t="s">
        <v>138</v>
      </c>
      <c r="D646" s="2" t="s">
        <v>33</v>
      </c>
      <c r="E646" s="2">
        <v>2022</v>
      </c>
      <c r="F646" s="2" t="s">
        <v>1794</v>
      </c>
      <c r="G646" s="2" t="s">
        <v>3095</v>
      </c>
      <c r="H646" s="2" t="s">
        <v>3092</v>
      </c>
      <c r="I646" s="1" t="s">
        <v>14</v>
      </c>
      <c r="J646" s="1" t="s">
        <v>3872</v>
      </c>
      <c r="K646" s="17"/>
      <c r="L646" s="54">
        <v>0.26500000000000001</v>
      </c>
      <c r="M646" s="39"/>
      <c r="N646" s="39"/>
      <c r="O646" s="39">
        <v>122.49</v>
      </c>
      <c r="P646" s="39"/>
      <c r="Q646" s="39"/>
      <c r="R646" s="39"/>
      <c r="S646" s="39"/>
      <c r="T646" s="39"/>
      <c r="U646" s="39"/>
      <c r="V646" s="39"/>
      <c r="W646" s="60"/>
    </row>
    <row r="647" spans="1:23" s="79" customFormat="1" ht="38.25" x14ac:dyDescent="0.2">
      <c r="A647" s="1" t="s">
        <v>137</v>
      </c>
      <c r="B647" s="2" t="s">
        <v>29</v>
      </c>
      <c r="C647" s="2" t="s">
        <v>138</v>
      </c>
      <c r="D647" s="2" t="s">
        <v>33</v>
      </c>
      <c r="E647" s="2">
        <v>2022</v>
      </c>
      <c r="F647" s="2" t="s">
        <v>1796</v>
      </c>
      <c r="G647" s="2" t="s">
        <v>3095</v>
      </c>
      <c r="H647" s="2" t="s">
        <v>3092</v>
      </c>
      <c r="I647" s="1" t="s">
        <v>14</v>
      </c>
      <c r="J647" s="1" t="s">
        <v>3873</v>
      </c>
      <c r="K647" s="17"/>
      <c r="L647" s="54">
        <v>0.28399999999999997</v>
      </c>
      <c r="M647" s="39"/>
      <c r="N647" s="39"/>
      <c r="O647" s="39">
        <v>61</v>
      </c>
      <c r="P647" s="39"/>
      <c r="Q647" s="39"/>
      <c r="R647" s="39"/>
      <c r="S647" s="39"/>
      <c r="T647" s="39"/>
      <c r="U647" s="39"/>
      <c r="V647" s="39"/>
      <c r="W647" s="60"/>
    </row>
    <row r="648" spans="1:23" s="79" customFormat="1" ht="51" x14ac:dyDescent="0.2">
      <c r="A648" s="1" t="s">
        <v>137</v>
      </c>
      <c r="B648" s="2" t="s">
        <v>29</v>
      </c>
      <c r="C648" s="2" t="s">
        <v>138</v>
      </c>
      <c r="D648" s="2" t="s">
        <v>33</v>
      </c>
      <c r="E648" s="2">
        <v>2022</v>
      </c>
      <c r="F648" s="2" t="s">
        <v>1798</v>
      </c>
      <c r="G648" s="2" t="s">
        <v>3095</v>
      </c>
      <c r="H648" s="2" t="s">
        <v>3092</v>
      </c>
      <c r="I648" s="1" t="s">
        <v>14</v>
      </c>
      <c r="J648" s="1" t="s">
        <v>3874</v>
      </c>
      <c r="K648" s="17"/>
      <c r="L648" s="54">
        <v>0.24299999999999999</v>
      </c>
      <c r="M648" s="39"/>
      <c r="N648" s="39"/>
      <c r="O648" s="39">
        <v>25.42</v>
      </c>
      <c r="P648" s="39"/>
      <c r="Q648" s="39"/>
      <c r="R648" s="39"/>
      <c r="S648" s="39"/>
      <c r="T648" s="39"/>
      <c r="U648" s="39"/>
      <c r="V648" s="39"/>
      <c r="W648" s="60"/>
    </row>
    <row r="649" spans="1:23" s="79" customFormat="1" ht="63.75" x14ac:dyDescent="0.2">
      <c r="A649" s="1" t="s">
        <v>3875</v>
      </c>
      <c r="B649" s="2" t="s">
        <v>213</v>
      </c>
      <c r="C649" s="2" t="s">
        <v>3876</v>
      </c>
      <c r="D649" s="2" t="s">
        <v>187</v>
      </c>
      <c r="E649" s="2">
        <v>2022</v>
      </c>
      <c r="F649" s="2" t="s">
        <v>1787</v>
      </c>
      <c r="G649" s="2" t="s">
        <v>3092</v>
      </c>
      <c r="H649" s="2" t="s">
        <v>3092</v>
      </c>
      <c r="I649" s="1" t="s">
        <v>3877</v>
      </c>
      <c r="J649" s="1" t="s">
        <v>3878</v>
      </c>
      <c r="K649" s="17"/>
      <c r="L649" s="54" t="s">
        <v>1670</v>
      </c>
      <c r="M649" s="39"/>
      <c r="N649" s="39"/>
      <c r="O649" s="39"/>
      <c r="P649" s="39"/>
      <c r="Q649" s="39"/>
      <c r="R649" s="39"/>
      <c r="S649" s="39"/>
      <c r="T649" s="39"/>
      <c r="U649" s="39">
        <v>227</v>
      </c>
      <c r="V649" s="39"/>
      <c r="W649" s="60" t="s">
        <v>3304</v>
      </c>
    </row>
    <row r="650" spans="1:23" s="79" customFormat="1" ht="25.5" x14ac:dyDescent="0.2">
      <c r="A650" s="1" t="s">
        <v>349</v>
      </c>
      <c r="B650" s="2" t="s">
        <v>271</v>
      </c>
      <c r="C650" s="2" t="s">
        <v>350</v>
      </c>
      <c r="D650" s="2" t="s">
        <v>46</v>
      </c>
      <c r="E650" s="2">
        <v>2022</v>
      </c>
      <c r="F650" s="2" t="s">
        <v>1794</v>
      </c>
      <c r="G650" s="2" t="s">
        <v>3092</v>
      </c>
      <c r="H650" s="2" t="s">
        <v>3092</v>
      </c>
      <c r="I650" s="1" t="s">
        <v>3879</v>
      </c>
      <c r="J650" s="1" t="s">
        <v>3880</v>
      </c>
      <c r="K650" s="17"/>
      <c r="L650" s="54"/>
      <c r="M650" s="39"/>
      <c r="N650" s="39"/>
      <c r="O650" s="39"/>
      <c r="P650" s="39"/>
      <c r="Q650" s="39"/>
      <c r="R650" s="39"/>
      <c r="S650" s="39"/>
      <c r="T650" s="39"/>
      <c r="U650" s="39"/>
      <c r="V650" s="39"/>
      <c r="W650" s="60" t="s">
        <v>1683</v>
      </c>
    </row>
    <row r="651" spans="1:23" s="79" customFormat="1" ht="25.5" x14ac:dyDescent="0.2">
      <c r="A651" s="1" t="s">
        <v>400</v>
      </c>
      <c r="B651" s="2" t="s">
        <v>32</v>
      </c>
      <c r="C651" s="2" t="s">
        <v>350</v>
      </c>
      <c r="D651" s="2" t="s">
        <v>46</v>
      </c>
      <c r="E651" s="2">
        <v>2022</v>
      </c>
      <c r="F651" s="2" t="s">
        <v>1787</v>
      </c>
      <c r="G651" s="2" t="s">
        <v>3095</v>
      </c>
      <c r="H651" s="2" t="s">
        <v>3092</v>
      </c>
      <c r="I651" s="1" t="s">
        <v>14</v>
      </c>
      <c r="J651" s="1" t="s">
        <v>3881</v>
      </c>
      <c r="K651" s="17"/>
      <c r="L651" s="54">
        <v>0.02</v>
      </c>
      <c r="M651" s="39"/>
      <c r="N651" s="39"/>
      <c r="O651" s="39"/>
      <c r="P651" s="39"/>
      <c r="Q651" s="39"/>
      <c r="R651" s="39"/>
      <c r="S651" s="39"/>
      <c r="T651" s="39"/>
      <c r="U651" s="39"/>
      <c r="V651" s="39">
        <v>13</v>
      </c>
      <c r="W651" s="60" t="s">
        <v>1699</v>
      </c>
    </row>
    <row r="652" spans="1:23" s="79" customFormat="1" ht="25.5" x14ac:dyDescent="0.2">
      <c r="A652" s="1" t="s">
        <v>400</v>
      </c>
      <c r="B652" s="2" t="s">
        <v>32</v>
      </c>
      <c r="C652" s="2" t="s">
        <v>350</v>
      </c>
      <c r="D652" s="2" t="s">
        <v>46</v>
      </c>
      <c r="E652" s="2">
        <v>2022</v>
      </c>
      <c r="F652" s="2" t="s">
        <v>1796</v>
      </c>
      <c r="G652" s="2" t="s">
        <v>3095</v>
      </c>
      <c r="H652" s="2" t="s">
        <v>3092</v>
      </c>
      <c r="I652" s="1" t="s">
        <v>14</v>
      </c>
      <c r="J652" s="1" t="s">
        <v>3882</v>
      </c>
      <c r="K652" s="17"/>
      <c r="L652" s="54">
        <v>0.02</v>
      </c>
      <c r="M652" s="39"/>
      <c r="N652" s="39"/>
      <c r="O652" s="39"/>
      <c r="P652" s="39"/>
      <c r="Q652" s="39"/>
      <c r="R652" s="39"/>
      <c r="S652" s="39"/>
      <c r="T652" s="39"/>
      <c r="U652" s="39"/>
      <c r="V652" s="39">
        <v>11.3</v>
      </c>
      <c r="W652" s="60" t="s">
        <v>1699</v>
      </c>
    </row>
    <row r="653" spans="1:23" s="79" customFormat="1" ht="25.5" x14ac:dyDescent="0.2">
      <c r="A653" s="1" t="s">
        <v>2639</v>
      </c>
      <c r="B653" s="2" t="s">
        <v>222</v>
      </c>
      <c r="C653" s="2" t="s">
        <v>374</v>
      </c>
      <c r="D653" s="2" t="s">
        <v>2640</v>
      </c>
      <c r="E653" s="2">
        <v>2022</v>
      </c>
      <c r="F653" s="2" t="s">
        <v>1785</v>
      </c>
      <c r="G653" s="2" t="s">
        <v>3092</v>
      </c>
      <c r="H653" s="2" t="s">
        <v>3092</v>
      </c>
      <c r="I653" s="1" t="s">
        <v>3883</v>
      </c>
      <c r="J653" s="1" t="s">
        <v>3884</v>
      </c>
      <c r="K653" s="17"/>
      <c r="L653" s="54" t="s">
        <v>1670</v>
      </c>
      <c r="M653" s="39"/>
      <c r="N653" s="39"/>
      <c r="O653" s="39"/>
      <c r="P653" s="39"/>
      <c r="Q653" s="39"/>
      <c r="R653" s="39"/>
      <c r="S653" s="39"/>
      <c r="T653" s="39"/>
      <c r="U653" s="39"/>
      <c r="V653" s="39">
        <v>220</v>
      </c>
      <c r="W653" s="60" t="s">
        <v>2333</v>
      </c>
    </row>
    <row r="654" spans="1:23" s="79" customFormat="1" ht="38.25" x14ac:dyDescent="0.2">
      <c r="A654" s="1" t="s">
        <v>62</v>
      </c>
      <c r="B654" s="2" t="s">
        <v>38</v>
      </c>
      <c r="C654" s="2" t="s">
        <v>63</v>
      </c>
      <c r="D654" s="2" t="s">
        <v>64</v>
      </c>
      <c r="E654" s="2">
        <v>2022</v>
      </c>
      <c r="F654" s="2" t="s">
        <v>1776</v>
      </c>
      <c r="G654" s="2" t="s">
        <v>3095</v>
      </c>
      <c r="H654" s="2" t="s">
        <v>3092</v>
      </c>
      <c r="I654" s="1" t="s">
        <v>14</v>
      </c>
      <c r="J654" s="1" t="s">
        <v>3885</v>
      </c>
      <c r="K654" s="17"/>
      <c r="L654" s="54">
        <v>0.21</v>
      </c>
      <c r="M654" s="39"/>
      <c r="N654" s="39"/>
      <c r="O654" s="39">
        <v>73.489999999999995</v>
      </c>
      <c r="P654" s="39"/>
      <c r="Q654" s="39"/>
      <c r="R654" s="39"/>
      <c r="S654" s="39"/>
      <c r="T654" s="39"/>
      <c r="U654" s="39"/>
      <c r="V654" s="39"/>
      <c r="W654" s="60"/>
    </row>
    <row r="655" spans="1:23" s="79" customFormat="1" ht="38.25" x14ac:dyDescent="0.2">
      <c r="A655" s="1" t="s">
        <v>62</v>
      </c>
      <c r="B655" s="2" t="s">
        <v>38</v>
      </c>
      <c r="C655" s="2" t="s">
        <v>63</v>
      </c>
      <c r="D655" s="2" t="s">
        <v>64</v>
      </c>
      <c r="E655" s="2">
        <v>2022</v>
      </c>
      <c r="F655" s="2" t="s">
        <v>1779</v>
      </c>
      <c r="G655" s="2" t="s">
        <v>3095</v>
      </c>
      <c r="H655" s="2" t="s">
        <v>3092</v>
      </c>
      <c r="I655" s="1" t="s">
        <v>14</v>
      </c>
      <c r="J655" s="1" t="s">
        <v>3886</v>
      </c>
      <c r="K655" s="17"/>
      <c r="L655" s="54">
        <v>0.22</v>
      </c>
      <c r="M655" s="39"/>
      <c r="N655" s="39"/>
      <c r="O655" s="39">
        <v>45.37</v>
      </c>
      <c r="P655" s="39"/>
      <c r="Q655" s="39"/>
      <c r="R655" s="39"/>
      <c r="S655" s="39"/>
      <c r="T655" s="39"/>
      <c r="U655" s="39"/>
      <c r="V655" s="39"/>
      <c r="W655" s="60"/>
    </row>
    <row r="656" spans="1:23" s="79" customFormat="1" ht="38.25" x14ac:dyDescent="0.2">
      <c r="A656" s="1" t="s">
        <v>62</v>
      </c>
      <c r="B656" s="2" t="s">
        <v>38</v>
      </c>
      <c r="C656" s="2" t="s">
        <v>63</v>
      </c>
      <c r="D656" s="2" t="s">
        <v>64</v>
      </c>
      <c r="E656" s="2">
        <v>2022</v>
      </c>
      <c r="F656" s="2" t="s">
        <v>1781</v>
      </c>
      <c r="G656" s="2" t="s">
        <v>3095</v>
      </c>
      <c r="H656" s="2" t="s">
        <v>3092</v>
      </c>
      <c r="I656" s="1" t="s">
        <v>14</v>
      </c>
      <c r="J656" s="1" t="s">
        <v>3887</v>
      </c>
      <c r="K656" s="17"/>
      <c r="L656" s="54">
        <v>0.19</v>
      </c>
      <c r="M656" s="39"/>
      <c r="N656" s="39"/>
      <c r="O656" s="39">
        <v>84.56</v>
      </c>
      <c r="P656" s="39"/>
      <c r="Q656" s="39"/>
      <c r="R656" s="39"/>
      <c r="S656" s="39"/>
      <c r="T656" s="39"/>
      <c r="U656" s="39"/>
      <c r="V656" s="39"/>
      <c r="W656" s="60"/>
    </row>
    <row r="657" spans="1:23" s="79" customFormat="1" ht="38.25" x14ac:dyDescent="0.2">
      <c r="A657" s="1" t="s">
        <v>62</v>
      </c>
      <c r="B657" s="2" t="s">
        <v>38</v>
      </c>
      <c r="C657" s="2" t="s">
        <v>63</v>
      </c>
      <c r="D657" s="2" t="s">
        <v>64</v>
      </c>
      <c r="E657" s="2">
        <v>2022</v>
      </c>
      <c r="F657" s="2" t="s">
        <v>1783</v>
      </c>
      <c r="G657" s="2" t="s">
        <v>3095</v>
      </c>
      <c r="H657" s="2" t="s">
        <v>3092</v>
      </c>
      <c r="I657" s="1" t="s">
        <v>14</v>
      </c>
      <c r="J657" s="1" t="s">
        <v>3888</v>
      </c>
      <c r="K657" s="17"/>
      <c r="L657" s="54">
        <v>0.21</v>
      </c>
      <c r="M657" s="39"/>
      <c r="N657" s="39"/>
      <c r="O657" s="3">
        <v>59.83</v>
      </c>
      <c r="P657" s="39"/>
      <c r="Q657" s="39"/>
      <c r="R657" s="39"/>
      <c r="S657" s="39"/>
      <c r="T657" s="39"/>
      <c r="U657" s="39"/>
      <c r="V657" s="39"/>
      <c r="W657" s="60"/>
    </row>
    <row r="658" spans="1:23" s="79" customFormat="1" ht="38.25" x14ac:dyDescent="0.2">
      <c r="A658" s="1" t="s">
        <v>62</v>
      </c>
      <c r="B658" s="2" t="s">
        <v>38</v>
      </c>
      <c r="C658" s="2" t="s">
        <v>63</v>
      </c>
      <c r="D658" s="2" t="s">
        <v>64</v>
      </c>
      <c r="E658" s="2">
        <v>2022</v>
      </c>
      <c r="F658" s="2" t="s">
        <v>1785</v>
      </c>
      <c r="G658" s="2" t="s">
        <v>3095</v>
      </c>
      <c r="H658" s="2" t="s">
        <v>3092</v>
      </c>
      <c r="I658" s="1" t="s">
        <v>14</v>
      </c>
      <c r="J658" s="1" t="s">
        <v>3889</v>
      </c>
      <c r="K658" s="17"/>
      <c r="L658" s="54">
        <v>0.21</v>
      </c>
      <c r="M658" s="39"/>
      <c r="N658" s="39"/>
      <c r="O658" s="39">
        <v>24.69</v>
      </c>
      <c r="P658" s="39"/>
      <c r="Q658" s="39"/>
      <c r="R658" s="39"/>
      <c r="S658" s="39"/>
      <c r="T658" s="39"/>
      <c r="U658" s="39"/>
      <c r="V658" s="39"/>
      <c r="W658" s="60"/>
    </row>
    <row r="659" spans="1:23" s="79" customFormat="1" ht="38.25" x14ac:dyDescent="0.2">
      <c r="A659" s="1" t="s">
        <v>62</v>
      </c>
      <c r="B659" s="2" t="s">
        <v>38</v>
      </c>
      <c r="C659" s="2" t="s">
        <v>63</v>
      </c>
      <c r="D659" s="2" t="s">
        <v>64</v>
      </c>
      <c r="E659" s="2">
        <v>2022</v>
      </c>
      <c r="F659" s="2" t="s">
        <v>1787</v>
      </c>
      <c r="G659" s="2" t="s">
        <v>3095</v>
      </c>
      <c r="H659" s="2" t="s">
        <v>3092</v>
      </c>
      <c r="I659" s="1" t="s">
        <v>14</v>
      </c>
      <c r="J659" s="1" t="s">
        <v>3890</v>
      </c>
      <c r="K659" s="17"/>
      <c r="L659" s="54">
        <v>0.21</v>
      </c>
      <c r="M659" s="39"/>
      <c r="N659" s="39"/>
      <c r="O659" s="39">
        <v>40.950000000000003</v>
      </c>
      <c r="P659" s="39"/>
      <c r="Q659" s="39"/>
      <c r="R659" s="39"/>
      <c r="S659" s="39"/>
      <c r="T659" s="39"/>
      <c r="U659" s="39"/>
      <c r="V659" s="39"/>
      <c r="W659" s="60"/>
    </row>
    <row r="660" spans="1:23" s="79" customFormat="1" ht="38.25" x14ac:dyDescent="0.2">
      <c r="A660" s="1" t="s">
        <v>62</v>
      </c>
      <c r="B660" s="2" t="s">
        <v>38</v>
      </c>
      <c r="C660" s="2" t="s">
        <v>63</v>
      </c>
      <c r="D660" s="2" t="s">
        <v>64</v>
      </c>
      <c r="E660" s="2">
        <v>2022</v>
      </c>
      <c r="F660" s="2" t="s">
        <v>1789</v>
      </c>
      <c r="G660" s="2" t="s">
        <v>3095</v>
      </c>
      <c r="H660" s="2" t="s">
        <v>3092</v>
      </c>
      <c r="I660" s="1" t="s">
        <v>14</v>
      </c>
      <c r="J660" s="1" t="s">
        <v>3891</v>
      </c>
      <c r="K660" s="17"/>
      <c r="L660" s="54">
        <v>0.21</v>
      </c>
      <c r="M660" s="39"/>
      <c r="N660" s="39"/>
      <c r="O660" s="39">
        <v>57.08</v>
      </c>
      <c r="P660" s="39"/>
      <c r="Q660" s="39"/>
      <c r="R660" s="39"/>
      <c r="S660" s="39"/>
      <c r="T660" s="39"/>
      <c r="U660" s="39"/>
      <c r="V660" s="39"/>
      <c r="W660" s="60"/>
    </row>
    <row r="661" spans="1:23" s="79" customFormat="1" ht="25.5" x14ac:dyDescent="0.2">
      <c r="A661" s="1" t="s">
        <v>62</v>
      </c>
      <c r="B661" s="2" t="s">
        <v>38</v>
      </c>
      <c r="C661" s="2" t="s">
        <v>63</v>
      </c>
      <c r="D661" s="2" t="s">
        <v>64</v>
      </c>
      <c r="E661" s="2">
        <v>2022</v>
      </c>
      <c r="F661" s="2" t="s">
        <v>1791</v>
      </c>
      <c r="G661" s="2" t="s">
        <v>3095</v>
      </c>
      <c r="H661" s="2" t="s">
        <v>3092</v>
      </c>
      <c r="I661" s="1" t="s">
        <v>14</v>
      </c>
      <c r="J661" s="1" t="s">
        <v>3892</v>
      </c>
      <c r="K661" s="17"/>
      <c r="L661" s="54">
        <v>0.2</v>
      </c>
      <c r="M661" s="39"/>
      <c r="N661" s="39"/>
      <c r="O661" s="39">
        <v>77.680000000000007</v>
      </c>
      <c r="P661" s="39"/>
      <c r="Q661" s="39"/>
      <c r="R661" s="39"/>
      <c r="S661" s="39"/>
      <c r="T661" s="39"/>
      <c r="U661" s="39"/>
      <c r="V661" s="39"/>
      <c r="W661" s="60"/>
    </row>
    <row r="662" spans="1:23" s="79" customFormat="1" ht="38.25" x14ac:dyDescent="0.2">
      <c r="A662" s="1" t="s">
        <v>62</v>
      </c>
      <c r="B662" s="2" t="s">
        <v>38</v>
      </c>
      <c r="C662" s="2" t="s">
        <v>63</v>
      </c>
      <c r="D662" s="2" t="s">
        <v>64</v>
      </c>
      <c r="E662" s="2">
        <v>2022</v>
      </c>
      <c r="F662" s="2" t="s">
        <v>311</v>
      </c>
      <c r="G662" s="2" t="s">
        <v>3095</v>
      </c>
      <c r="H662" s="2" t="s">
        <v>3092</v>
      </c>
      <c r="I662" s="1" t="s">
        <v>14</v>
      </c>
      <c r="J662" s="1" t="s">
        <v>3893</v>
      </c>
      <c r="K662" s="17"/>
      <c r="L662" s="54">
        <v>0.21</v>
      </c>
      <c r="M662" s="39"/>
      <c r="N662" s="39"/>
      <c r="O662" s="39">
        <v>33.78</v>
      </c>
      <c r="P662" s="39"/>
      <c r="Q662" s="39"/>
      <c r="R662" s="39"/>
      <c r="S662" s="39"/>
      <c r="T662" s="39"/>
      <c r="U662" s="39"/>
      <c r="V662" s="39"/>
      <c r="W662" s="60"/>
    </row>
    <row r="663" spans="1:23" s="79" customFormat="1" ht="38.25" x14ac:dyDescent="0.2">
      <c r="A663" s="1" t="s">
        <v>62</v>
      </c>
      <c r="B663" s="2" t="s">
        <v>38</v>
      </c>
      <c r="C663" s="2" t="s">
        <v>63</v>
      </c>
      <c r="D663" s="2" t="s">
        <v>64</v>
      </c>
      <c r="E663" s="2">
        <v>2022</v>
      </c>
      <c r="F663" s="2" t="s">
        <v>1794</v>
      </c>
      <c r="G663" s="2" t="s">
        <v>3095</v>
      </c>
      <c r="H663" s="2" t="s">
        <v>3092</v>
      </c>
      <c r="I663" s="1" t="s">
        <v>14</v>
      </c>
      <c r="J663" s="1" t="s">
        <v>3894</v>
      </c>
      <c r="K663" s="17"/>
      <c r="L663" s="54">
        <v>0.21</v>
      </c>
      <c r="M663" s="39"/>
      <c r="N663" s="39"/>
      <c r="O663" s="39">
        <v>55.88</v>
      </c>
      <c r="P663" s="39"/>
      <c r="Q663" s="39"/>
      <c r="R663" s="39"/>
      <c r="S663" s="39"/>
      <c r="T663" s="39"/>
      <c r="U663" s="39"/>
      <c r="V663" s="39"/>
      <c r="W663" s="60" t="s">
        <v>3895</v>
      </c>
    </row>
    <row r="664" spans="1:23" s="79" customFormat="1" ht="38.25" x14ac:dyDescent="0.2">
      <c r="A664" s="1" t="s">
        <v>62</v>
      </c>
      <c r="B664" s="2" t="s">
        <v>38</v>
      </c>
      <c r="C664" s="2" t="s">
        <v>63</v>
      </c>
      <c r="D664" s="2" t="s">
        <v>64</v>
      </c>
      <c r="E664" s="2">
        <v>2022</v>
      </c>
      <c r="F664" s="2" t="s">
        <v>1796</v>
      </c>
      <c r="G664" s="2" t="s">
        <v>3095</v>
      </c>
      <c r="H664" s="2" t="s">
        <v>3092</v>
      </c>
      <c r="I664" s="1" t="s">
        <v>14</v>
      </c>
      <c r="J664" s="1" t="s">
        <v>3896</v>
      </c>
      <c r="K664" s="17"/>
      <c r="L664" s="54">
        <v>0.2</v>
      </c>
      <c r="M664" s="39"/>
      <c r="N664" s="39"/>
      <c r="O664" s="39">
        <v>69.930000000000007</v>
      </c>
      <c r="P664" s="39"/>
      <c r="Q664" s="39"/>
      <c r="R664" s="39"/>
      <c r="S664" s="39"/>
      <c r="T664" s="39"/>
      <c r="U664" s="39"/>
      <c r="V664" s="39"/>
      <c r="W664" s="60"/>
    </row>
    <row r="665" spans="1:23" s="79" customFormat="1" ht="38.25" x14ac:dyDescent="0.2">
      <c r="A665" s="1" t="s">
        <v>62</v>
      </c>
      <c r="B665" s="2" t="s">
        <v>38</v>
      </c>
      <c r="C665" s="2" t="s">
        <v>63</v>
      </c>
      <c r="D665" s="2" t="s">
        <v>64</v>
      </c>
      <c r="E665" s="2">
        <v>2022</v>
      </c>
      <c r="F665" s="2" t="s">
        <v>1798</v>
      </c>
      <c r="G665" s="2" t="s">
        <v>3095</v>
      </c>
      <c r="H665" s="2" t="s">
        <v>3092</v>
      </c>
      <c r="I665" s="1" t="s">
        <v>14</v>
      </c>
      <c r="J665" s="1" t="s">
        <v>3897</v>
      </c>
      <c r="K665" s="17"/>
      <c r="L665" s="54">
        <v>0.2</v>
      </c>
      <c r="M665" s="39"/>
      <c r="N665" s="39"/>
      <c r="O665" s="39">
        <v>47.31</v>
      </c>
      <c r="P665" s="39"/>
      <c r="Q665" s="39"/>
      <c r="R665" s="39"/>
      <c r="S665" s="39"/>
      <c r="T665" s="39"/>
      <c r="U665" s="39"/>
      <c r="V665" s="39"/>
      <c r="W665" s="60"/>
    </row>
    <row r="666" spans="1:23" s="79" customFormat="1" ht="51" x14ac:dyDescent="0.2">
      <c r="A666" s="1" t="s">
        <v>106</v>
      </c>
      <c r="B666" s="2" t="s">
        <v>38</v>
      </c>
      <c r="C666" s="2" t="s">
        <v>107</v>
      </c>
      <c r="D666" s="2" t="s">
        <v>108</v>
      </c>
      <c r="E666" s="2">
        <v>2022</v>
      </c>
      <c r="F666" s="2" t="s">
        <v>1776</v>
      </c>
      <c r="G666" s="2" t="s">
        <v>3095</v>
      </c>
      <c r="H666" s="2" t="s">
        <v>3092</v>
      </c>
      <c r="I666" s="1" t="s">
        <v>14</v>
      </c>
      <c r="J666" s="1" t="s">
        <v>3898</v>
      </c>
      <c r="K666" s="17"/>
      <c r="L666" s="54">
        <v>0.24399999999999999</v>
      </c>
      <c r="M666" s="39"/>
      <c r="N666" s="39"/>
      <c r="O666" s="39">
        <v>64.900000000000006</v>
      </c>
      <c r="P666" s="39"/>
      <c r="Q666" s="39"/>
      <c r="R666" s="39"/>
      <c r="S666" s="39"/>
      <c r="T666" s="39"/>
      <c r="U666" s="39"/>
      <c r="V666" s="39"/>
      <c r="W666" s="60"/>
    </row>
    <row r="667" spans="1:23" s="79" customFormat="1" ht="38.25" x14ac:dyDescent="0.2">
      <c r="A667" s="1" t="s">
        <v>106</v>
      </c>
      <c r="B667" s="2" t="s">
        <v>38</v>
      </c>
      <c r="C667" s="2" t="s">
        <v>107</v>
      </c>
      <c r="D667" s="2" t="s">
        <v>108</v>
      </c>
      <c r="E667" s="2">
        <v>2022</v>
      </c>
      <c r="F667" s="2" t="s">
        <v>1779</v>
      </c>
      <c r="G667" s="2" t="s">
        <v>3095</v>
      </c>
      <c r="H667" s="2" t="s">
        <v>3092</v>
      </c>
      <c r="I667" s="1" t="s">
        <v>14</v>
      </c>
      <c r="J667" s="1" t="s">
        <v>3899</v>
      </c>
      <c r="K667" s="17"/>
      <c r="L667" s="54">
        <v>0.24</v>
      </c>
      <c r="M667" s="39"/>
      <c r="N667" s="39"/>
      <c r="O667" s="39">
        <v>74.040000000000006</v>
      </c>
      <c r="P667" s="39"/>
      <c r="Q667" s="39"/>
      <c r="R667" s="39"/>
      <c r="S667" s="39"/>
      <c r="T667" s="39"/>
      <c r="U667" s="39"/>
      <c r="V667" s="39"/>
      <c r="W667" s="60"/>
    </row>
    <row r="668" spans="1:23" s="79" customFormat="1" ht="51" x14ac:dyDescent="0.2">
      <c r="A668" s="1" t="s">
        <v>106</v>
      </c>
      <c r="B668" s="2" t="s">
        <v>38</v>
      </c>
      <c r="C668" s="2" t="s">
        <v>107</v>
      </c>
      <c r="D668" s="2" t="s">
        <v>108</v>
      </c>
      <c r="E668" s="2">
        <v>2022</v>
      </c>
      <c r="F668" s="2" t="s">
        <v>1781</v>
      </c>
      <c r="G668" s="2" t="s">
        <v>3095</v>
      </c>
      <c r="H668" s="2" t="s">
        <v>3092</v>
      </c>
      <c r="I668" s="1" t="s">
        <v>14</v>
      </c>
      <c r="J668" s="1" t="s">
        <v>3900</v>
      </c>
      <c r="K668" s="17"/>
      <c r="L668" s="54">
        <v>0.254</v>
      </c>
      <c r="M668" s="39"/>
      <c r="N668" s="39"/>
      <c r="O668" s="39">
        <v>85.45</v>
      </c>
      <c r="P668" s="39"/>
      <c r="Q668" s="39"/>
      <c r="R668" s="39"/>
      <c r="S668" s="39"/>
      <c r="T668" s="39"/>
      <c r="U668" s="39"/>
      <c r="V668" s="39"/>
      <c r="W668" s="60"/>
    </row>
    <row r="669" spans="1:23" s="79" customFormat="1" ht="51" x14ac:dyDescent="0.2">
      <c r="A669" s="1" t="s">
        <v>106</v>
      </c>
      <c r="B669" s="2" t="s">
        <v>38</v>
      </c>
      <c r="C669" s="2" t="s">
        <v>107</v>
      </c>
      <c r="D669" s="2" t="s">
        <v>108</v>
      </c>
      <c r="E669" s="2">
        <v>2022</v>
      </c>
      <c r="F669" s="2" t="s">
        <v>1783</v>
      </c>
      <c r="G669" s="2" t="s">
        <v>3095</v>
      </c>
      <c r="H669" s="2" t="s">
        <v>3092</v>
      </c>
      <c r="I669" s="1" t="s">
        <v>14</v>
      </c>
      <c r="J669" s="1" t="s">
        <v>3901</v>
      </c>
      <c r="K669" s="17"/>
      <c r="L669" s="54">
        <v>0.26300000000000001</v>
      </c>
      <c r="M669" s="39"/>
      <c r="N669" s="39"/>
      <c r="O669" s="39">
        <v>87.81</v>
      </c>
      <c r="P669" s="39"/>
      <c r="Q669" s="39"/>
      <c r="R669" s="39"/>
      <c r="S669" s="39"/>
      <c r="T669" s="39"/>
      <c r="U669" s="39"/>
      <c r="V669" s="39"/>
      <c r="W669" s="60"/>
    </row>
    <row r="670" spans="1:23" s="79" customFormat="1" ht="38.25" x14ac:dyDescent="0.2">
      <c r="A670" s="1" t="s">
        <v>106</v>
      </c>
      <c r="B670" s="2" t="s">
        <v>38</v>
      </c>
      <c r="C670" s="2" t="s">
        <v>107</v>
      </c>
      <c r="D670" s="2" t="s">
        <v>108</v>
      </c>
      <c r="E670" s="2">
        <v>2022</v>
      </c>
      <c r="F670" s="2" t="s">
        <v>1785</v>
      </c>
      <c r="G670" s="2" t="s">
        <v>3095</v>
      </c>
      <c r="H670" s="2" t="s">
        <v>3092</v>
      </c>
      <c r="I670" s="1" t="s">
        <v>14</v>
      </c>
      <c r="J670" s="1" t="s">
        <v>3902</v>
      </c>
      <c r="K670" s="17"/>
      <c r="L670" s="54">
        <v>0.253</v>
      </c>
      <c r="M670" s="39"/>
      <c r="N670" s="39"/>
      <c r="O670" s="39">
        <v>88.48</v>
      </c>
      <c r="P670" s="39"/>
      <c r="Q670" s="39"/>
      <c r="R670" s="39"/>
      <c r="S670" s="39"/>
      <c r="T670" s="39"/>
      <c r="U670" s="39"/>
      <c r="V670" s="39"/>
      <c r="W670" s="60"/>
    </row>
    <row r="671" spans="1:23" s="79" customFormat="1" ht="38.25" x14ac:dyDescent="0.2">
      <c r="A671" s="1" t="s">
        <v>106</v>
      </c>
      <c r="B671" s="2" t="s">
        <v>38</v>
      </c>
      <c r="C671" s="2" t="s">
        <v>107</v>
      </c>
      <c r="D671" s="2" t="s">
        <v>108</v>
      </c>
      <c r="E671" s="2">
        <v>2022</v>
      </c>
      <c r="F671" s="2" t="s">
        <v>1787</v>
      </c>
      <c r="G671" s="2" t="s">
        <v>3095</v>
      </c>
      <c r="H671" s="2" t="s">
        <v>3092</v>
      </c>
      <c r="I671" s="1" t="s">
        <v>14</v>
      </c>
      <c r="J671" s="1" t="s">
        <v>3903</v>
      </c>
      <c r="K671" s="17"/>
      <c r="L671" s="54">
        <v>0.246</v>
      </c>
      <c r="M671" s="39"/>
      <c r="N671" s="39"/>
      <c r="O671" s="3">
        <v>101.16</v>
      </c>
      <c r="P671" s="39"/>
      <c r="Q671" s="39"/>
      <c r="R671" s="39"/>
      <c r="S671" s="39"/>
      <c r="T671" s="39"/>
      <c r="U671" s="39"/>
      <c r="V671" s="39"/>
      <c r="W671" s="60"/>
    </row>
    <row r="672" spans="1:23" s="79" customFormat="1" ht="76.5" x14ac:dyDescent="0.2">
      <c r="A672" s="1" t="s">
        <v>106</v>
      </c>
      <c r="B672" s="2" t="s">
        <v>38</v>
      </c>
      <c r="C672" s="2" t="s">
        <v>107</v>
      </c>
      <c r="D672" s="2" t="s">
        <v>108</v>
      </c>
      <c r="E672" s="2">
        <v>2022</v>
      </c>
      <c r="F672" s="2" t="s">
        <v>1789</v>
      </c>
      <c r="G672" s="2" t="s">
        <v>3095</v>
      </c>
      <c r="H672" s="2" t="s">
        <v>3092</v>
      </c>
      <c r="I672" s="1" t="s">
        <v>14</v>
      </c>
      <c r="J672" s="1" t="s">
        <v>3904</v>
      </c>
      <c r="K672" s="17"/>
      <c r="L672" s="54">
        <v>0.23699999999999999</v>
      </c>
      <c r="M672" s="39"/>
      <c r="N672" s="39"/>
      <c r="O672" s="39">
        <v>98.54</v>
      </c>
      <c r="P672" s="39"/>
      <c r="Q672" s="39"/>
      <c r="R672" s="39"/>
      <c r="S672" s="39"/>
      <c r="T672" s="39"/>
      <c r="U672" s="39"/>
      <c r="V672" s="39"/>
      <c r="W672" s="60"/>
    </row>
    <row r="673" spans="1:23" s="79" customFormat="1" ht="38.25" x14ac:dyDescent="0.2">
      <c r="A673" s="1" t="s">
        <v>106</v>
      </c>
      <c r="B673" s="2" t="s">
        <v>38</v>
      </c>
      <c r="C673" s="2" t="s">
        <v>107</v>
      </c>
      <c r="D673" s="2" t="s">
        <v>108</v>
      </c>
      <c r="E673" s="2">
        <v>2022</v>
      </c>
      <c r="F673" s="2" t="s">
        <v>1791</v>
      </c>
      <c r="G673" s="2" t="s">
        <v>3095</v>
      </c>
      <c r="H673" s="2" t="s">
        <v>3092</v>
      </c>
      <c r="I673" s="1" t="s">
        <v>14</v>
      </c>
      <c r="J673" s="1" t="s">
        <v>3905</v>
      </c>
      <c r="K673" s="17"/>
      <c r="L673" s="54">
        <v>0.23100000000000001</v>
      </c>
      <c r="M673" s="39"/>
      <c r="N673" s="39"/>
      <c r="O673" s="39">
        <v>108.56</v>
      </c>
      <c r="P673" s="39"/>
      <c r="Q673" s="39"/>
      <c r="R673" s="39"/>
      <c r="S673" s="39"/>
      <c r="T673" s="39"/>
      <c r="U673" s="39"/>
      <c r="V673" s="39"/>
      <c r="W673" s="60"/>
    </row>
    <row r="674" spans="1:23" s="79" customFormat="1" ht="38.25" x14ac:dyDescent="0.2">
      <c r="A674" s="1" t="s">
        <v>106</v>
      </c>
      <c r="B674" s="2" t="s">
        <v>38</v>
      </c>
      <c r="C674" s="2" t="s">
        <v>107</v>
      </c>
      <c r="D674" s="2" t="s">
        <v>108</v>
      </c>
      <c r="E674" s="2">
        <v>2022</v>
      </c>
      <c r="F674" s="2" t="s">
        <v>311</v>
      </c>
      <c r="G674" s="2" t="s">
        <v>3095</v>
      </c>
      <c r="H674" s="2" t="s">
        <v>3092</v>
      </c>
      <c r="I674" s="1" t="s">
        <v>14</v>
      </c>
      <c r="J674" s="1" t="s">
        <v>3906</v>
      </c>
      <c r="K674" s="17"/>
      <c r="L674" s="54">
        <v>0.23499999999999999</v>
      </c>
      <c r="M674" s="39"/>
      <c r="N674" s="39"/>
      <c r="O674" s="39">
        <v>93.84</v>
      </c>
      <c r="P674" s="39"/>
      <c r="Q674" s="39"/>
      <c r="R674" s="39"/>
      <c r="S674" s="39"/>
      <c r="T674" s="39"/>
      <c r="U674" s="39"/>
      <c r="V674" s="39"/>
      <c r="W674" s="60"/>
    </row>
    <row r="675" spans="1:23" s="79" customFormat="1" ht="51" x14ac:dyDescent="0.2">
      <c r="A675" s="1" t="s">
        <v>106</v>
      </c>
      <c r="B675" s="2" t="s">
        <v>38</v>
      </c>
      <c r="C675" s="2" t="s">
        <v>107</v>
      </c>
      <c r="D675" s="2" t="s">
        <v>108</v>
      </c>
      <c r="E675" s="2">
        <v>2022</v>
      </c>
      <c r="F675" s="2" t="s">
        <v>1794</v>
      </c>
      <c r="G675" s="2" t="s">
        <v>3095</v>
      </c>
      <c r="H675" s="2" t="s">
        <v>3092</v>
      </c>
      <c r="I675" s="1" t="s">
        <v>14</v>
      </c>
      <c r="J675" s="1" t="s">
        <v>3907</v>
      </c>
      <c r="K675" s="17"/>
      <c r="L675" s="54">
        <v>0.22800000000000001</v>
      </c>
      <c r="M675" s="39"/>
      <c r="N675" s="39"/>
      <c r="O675" s="39">
        <v>83.71</v>
      </c>
      <c r="P675" s="39"/>
      <c r="Q675" s="39"/>
      <c r="R675" s="39"/>
      <c r="S675" s="39"/>
      <c r="T675" s="39"/>
      <c r="U675" s="39"/>
      <c r="V675" s="39"/>
      <c r="W675" s="60"/>
    </row>
    <row r="676" spans="1:23" s="79" customFormat="1" ht="51" x14ac:dyDescent="0.2">
      <c r="A676" s="1" t="s">
        <v>106</v>
      </c>
      <c r="B676" s="2" t="s">
        <v>38</v>
      </c>
      <c r="C676" s="2" t="s">
        <v>107</v>
      </c>
      <c r="D676" s="2" t="s">
        <v>108</v>
      </c>
      <c r="E676" s="2">
        <v>2022</v>
      </c>
      <c r="F676" s="2" t="s">
        <v>1796</v>
      </c>
      <c r="G676" s="2" t="s">
        <v>3095</v>
      </c>
      <c r="H676" s="2" t="s">
        <v>3092</v>
      </c>
      <c r="I676" s="1" t="s">
        <v>14</v>
      </c>
      <c r="J676" s="1" t="s">
        <v>3908</v>
      </c>
      <c r="K676" s="17"/>
      <c r="L676" s="54">
        <v>0.23200000000000001</v>
      </c>
      <c r="M676" s="39"/>
      <c r="N676" s="39"/>
      <c r="O676" s="39">
        <v>62.02</v>
      </c>
      <c r="P676" s="39"/>
      <c r="Q676" s="39"/>
      <c r="R676" s="39"/>
      <c r="S676" s="39"/>
      <c r="T676" s="39"/>
      <c r="U676" s="39"/>
      <c r="V676" s="39"/>
      <c r="W676" s="60"/>
    </row>
    <row r="677" spans="1:23" s="79" customFormat="1" ht="51" x14ac:dyDescent="0.2">
      <c r="A677" s="1" t="s">
        <v>106</v>
      </c>
      <c r="B677" s="2" t="s">
        <v>38</v>
      </c>
      <c r="C677" s="2" t="s">
        <v>107</v>
      </c>
      <c r="D677" s="2" t="s">
        <v>108</v>
      </c>
      <c r="E677" s="2">
        <v>2022</v>
      </c>
      <c r="F677" s="2" t="s">
        <v>1798</v>
      </c>
      <c r="G677" s="2" t="s">
        <v>3095</v>
      </c>
      <c r="H677" s="2" t="s">
        <v>3092</v>
      </c>
      <c r="I677" s="1" t="s">
        <v>14</v>
      </c>
      <c r="J677" s="1" t="s">
        <v>3909</v>
      </c>
      <c r="K677" s="17"/>
      <c r="L677" s="54">
        <v>0.24299999999999999</v>
      </c>
      <c r="M677" s="39"/>
      <c r="N677" s="39"/>
      <c r="O677" s="39">
        <v>70.37</v>
      </c>
      <c r="P677" s="39"/>
      <c r="Q677" s="39"/>
      <c r="R677" s="39"/>
      <c r="S677" s="39"/>
      <c r="T677" s="39"/>
      <c r="U677" s="39"/>
      <c r="V677" s="39"/>
      <c r="W677" s="60"/>
    </row>
    <row r="678" spans="1:23" s="79" customFormat="1" ht="25.5" x14ac:dyDescent="0.2">
      <c r="A678" s="1" t="s">
        <v>440</v>
      </c>
      <c r="B678" s="2" t="s">
        <v>264</v>
      </c>
      <c r="C678" s="2" t="s">
        <v>441</v>
      </c>
      <c r="D678" s="2" t="s">
        <v>442</v>
      </c>
      <c r="E678" s="2">
        <v>2022</v>
      </c>
      <c r="F678" s="2" t="s">
        <v>1794</v>
      </c>
      <c r="G678" s="2" t="s">
        <v>3092</v>
      </c>
      <c r="H678" s="2" t="s">
        <v>3093</v>
      </c>
      <c r="I678" s="1" t="s">
        <v>3910</v>
      </c>
      <c r="J678" s="1" t="s">
        <v>14</v>
      </c>
      <c r="K678" s="17"/>
      <c r="L678" s="54"/>
      <c r="M678" s="39"/>
      <c r="N678" s="39"/>
      <c r="O678" s="39"/>
      <c r="P678" s="39"/>
      <c r="Q678" s="39"/>
      <c r="R678" s="39"/>
      <c r="S678" s="39"/>
      <c r="T678" s="39"/>
      <c r="U678" s="39"/>
      <c r="V678" s="39"/>
      <c r="W678" s="60"/>
    </row>
    <row r="679" spans="1:23" s="79" customFormat="1" ht="25.5" x14ac:dyDescent="0.2">
      <c r="A679" s="1" t="s">
        <v>440</v>
      </c>
      <c r="B679" s="2" t="s">
        <v>264</v>
      </c>
      <c r="C679" s="2" t="s">
        <v>441</v>
      </c>
      <c r="D679" s="2" t="s">
        <v>442</v>
      </c>
      <c r="E679" s="2">
        <v>2022</v>
      </c>
      <c r="F679" s="2" t="s">
        <v>1796</v>
      </c>
      <c r="G679" s="2" t="s">
        <v>3092</v>
      </c>
      <c r="H679" s="2" t="s">
        <v>3092</v>
      </c>
      <c r="I679" s="1" t="s">
        <v>3911</v>
      </c>
      <c r="J679" s="1" t="s">
        <v>3912</v>
      </c>
      <c r="K679" s="17"/>
      <c r="L679" s="54"/>
      <c r="M679" s="39"/>
      <c r="N679" s="39"/>
      <c r="O679" s="39"/>
      <c r="P679" s="39"/>
      <c r="Q679" s="39"/>
      <c r="R679" s="39"/>
      <c r="S679" s="39"/>
      <c r="T679" s="39"/>
      <c r="U679" s="39"/>
      <c r="V679" s="39"/>
      <c r="W679" s="60"/>
    </row>
    <row r="680" spans="1:23" s="79" customFormat="1" ht="63.75" x14ac:dyDescent="0.2">
      <c r="A680" s="1" t="s">
        <v>292</v>
      </c>
      <c r="B680" s="2" t="s">
        <v>262</v>
      </c>
      <c r="C680" s="2" t="s">
        <v>293</v>
      </c>
      <c r="D680" s="2" t="s">
        <v>173</v>
      </c>
      <c r="E680" s="2">
        <v>2022</v>
      </c>
      <c r="F680" s="2" t="s">
        <v>1794</v>
      </c>
      <c r="G680" s="2" t="s">
        <v>3092</v>
      </c>
      <c r="H680" s="2" t="s">
        <v>3092</v>
      </c>
      <c r="I680" s="1" t="s">
        <v>3913</v>
      </c>
      <c r="J680" s="1" t="s">
        <v>3914</v>
      </c>
      <c r="K680" s="17"/>
      <c r="L680" s="54">
        <v>0.03</v>
      </c>
      <c r="M680" s="39">
        <v>25</v>
      </c>
      <c r="N680" s="39"/>
      <c r="O680" s="39"/>
      <c r="P680" s="39"/>
      <c r="Q680" s="39"/>
      <c r="R680" s="39"/>
      <c r="S680" s="39"/>
      <c r="T680" s="39"/>
      <c r="U680" s="39"/>
      <c r="V680" s="39"/>
      <c r="W680" s="60" t="s">
        <v>3915</v>
      </c>
    </row>
    <row r="681" spans="1:23" s="79" customFormat="1" ht="51" x14ac:dyDescent="0.2">
      <c r="A681" s="1" t="s">
        <v>104</v>
      </c>
      <c r="B681" s="2" t="s">
        <v>10</v>
      </c>
      <c r="C681" s="2" t="s">
        <v>105</v>
      </c>
      <c r="D681" s="2" t="s">
        <v>36</v>
      </c>
      <c r="E681" s="2">
        <v>2022</v>
      </c>
      <c r="F681" s="2" t="s">
        <v>1776</v>
      </c>
      <c r="G681" s="2" t="s">
        <v>3095</v>
      </c>
      <c r="H681" s="2" t="s">
        <v>3092</v>
      </c>
      <c r="I681" s="1" t="s">
        <v>14</v>
      </c>
      <c r="J681" s="1" t="s">
        <v>599</v>
      </c>
      <c r="K681" s="17"/>
      <c r="L681" s="54"/>
      <c r="M681" s="39"/>
      <c r="N681" s="39"/>
      <c r="O681" s="39"/>
      <c r="P681" s="39"/>
      <c r="Q681" s="39"/>
      <c r="R681" s="39"/>
      <c r="S681" s="39"/>
      <c r="T681" s="39"/>
      <c r="U681" s="39"/>
      <c r="V681" s="39"/>
      <c r="W681" s="60" t="s">
        <v>1735</v>
      </c>
    </row>
    <row r="682" spans="1:23" s="79" customFormat="1" ht="51" x14ac:dyDescent="0.2">
      <c r="A682" s="1" t="s">
        <v>104</v>
      </c>
      <c r="B682" s="2" t="s">
        <v>10</v>
      </c>
      <c r="C682" s="2" t="s">
        <v>105</v>
      </c>
      <c r="D682" s="2" t="s">
        <v>36</v>
      </c>
      <c r="E682" s="2">
        <v>2022</v>
      </c>
      <c r="F682" s="2" t="s">
        <v>1779</v>
      </c>
      <c r="G682" s="2" t="s">
        <v>3095</v>
      </c>
      <c r="H682" s="2" t="s">
        <v>3092</v>
      </c>
      <c r="I682" s="1" t="s">
        <v>14</v>
      </c>
      <c r="J682" s="1" t="s">
        <v>3916</v>
      </c>
      <c r="K682" s="17"/>
      <c r="L682" s="54"/>
      <c r="M682" s="39"/>
      <c r="N682" s="39"/>
      <c r="O682" s="39"/>
      <c r="P682" s="39"/>
      <c r="Q682" s="39"/>
      <c r="R682" s="39"/>
      <c r="S682" s="39"/>
      <c r="T682" s="39"/>
      <c r="U682" s="39"/>
      <c r="V682" s="39"/>
      <c r="W682" s="60" t="s">
        <v>1735</v>
      </c>
    </row>
    <row r="683" spans="1:23" s="79" customFormat="1" ht="51" x14ac:dyDescent="0.2">
      <c r="A683" s="1" t="s">
        <v>104</v>
      </c>
      <c r="B683" s="2" t="s">
        <v>10</v>
      </c>
      <c r="C683" s="2" t="s">
        <v>105</v>
      </c>
      <c r="D683" s="2" t="s">
        <v>36</v>
      </c>
      <c r="E683" s="2">
        <v>2022</v>
      </c>
      <c r="F683" s="2" t="s">
        <v>1781</v>
      </c>
      <c r="G683" s="2" t="s">
        <v>3095</v>
      </c>
      <c r="H683" s="2" t="s">
        <v>3092</v>
      </c>
      <c r="I683" s="1" t="s">
        <v>14</v>
      </c>
      <c r="J683" s="1" t="s">
        <v>2678</v>
      </c>
      <c r="K683" s="17"/>
      <c r="L683" s="54"/>
      <c r="M683" s="39"/>
      <c r="N683" s="39"/>
      <c r="O683" s="39"/>
      <c r="P683" s="39"/>
      <c r="Q683" s="39"/>
      <c r="R683" s="39"/>
      <c r="S683" s="39"/>
      <c r="T683" s="39"/>
      <c r="U683" s="39"/>
      <c r="V683" s="39"/>
      <c r="W683" s="60" t="s">
        <v>1735</v>
      </c>
    </row>
    <row r="684" spans="1:23" s="79" customFormat="1" ht="51" x14ac:dyDescent="0.2">
      <c r="A684" s="1" t="s">
        <v>104</v>
      </c>
      <c r="B684" s="2" t="s">
        <v>10</v>
      </c>
      <c r="C684" s="2" t="s">
        <v>105</v>
      </c>
      <c r="D684" s="2" t="s">
        <v>36</v>
      </c>
      <c r="E684" s="2">
        <v>2022</v>
      </c>
      <c r="F684" s="2" t="s">
        <v>1783</v>
      </c>
      <c r="G684" s="2" t="s">
        <v>3095</v>
      </c>
      <c r="H684" s="2" t="s">
        <v>3092</v>
      </c>
      <c r="I684" s="1" t="s">
        <v>14</v>
      </c>
      <c r="J684" s="1" t="s">
        <v>458</v>
      </c>
      <c r="K684" s="17"/>
      <c r="L684" s="54"/>
      <c r="M684" s="39"/>
      <c r="N684" s="39"/>
      <c r="O684" s="39"/>
      <c r="P684" s="39"/>
      <c r="Q684" s="39"/>
      <c r="R684" s="39"/>
      <c r="S684" s="39"/>
      <c r="T684" s="39"/>
      <c r="U684" s="39"/>
      <c r="V684" s="39"/>
      <c r="W684" s="60" t="s">
        <v>1735</v>
      </c>
    </row>
    <row r="685" spans="1:23" s="79" customFormat="1" ht="51" x14ac:dyDescent="0.2">
      <c r="A685" s="1" t="s">
        <v>104</v>
      </c>
      <c r="B685" s="2" t="s">
        <v>10</v>
      </c>
      <c r="C685" s="2" t="s">
        <v>105</v>
      </c>
      <c r="D685" s="2" t="s">
        <v>36</v>
      </c>
      <c r="E685" s="2">
        <v>2022</v>
      </c>
      <c r="F685" s="2" t="s">
        <v>1785</v>
      </c>
      <c r="G685" s="2" t="s">
        <v>3095</v>
      </c>
      <c r="H685" s="2" t="s">
        <v>3092</v>
      </c>
      <c r="I685" s="1" t="s">
        <v>14</v>
      </c>
      <c r="J685" s="1" t="s">
        <v>599</v>
      </c>
      <c r="K685" s="17"/>
      <c r="L685" s="54"/>
      <c r="M685" s="39"/>
      <c r="N685" s="39"/>
      <c r="O685" s="39"/>
      <c r="P685" s="39"/>
      <c r="Q685" s="39"/>
      <c r="R685" s="39"/>
      <c r="S685" s="39"/>
      <c r="T685" s="39"/>
      <c r="U685" s="39"/>
      <c r="V685" s="39"/>
      <c r="W685" s="60" t="s">
        <v>1735</v>
      </c>
    </row>
    <row r="686" spans="1:23" s="79" customFormat="1" ht="51" x14ac:dyDescent="0.2">
      <c r="A686" s="1" t="s">
        <v>104</v>
      </c>
      <c r="B686" s="2" t="s">
        <v>10</v>
      </c>
      <c r="C686" s="2" t="s">
        <v>105</v>
      </c>
      <c r="D686" s="2" t="s">
        <v>36</v>
      </c>
      <c r="E686" s="2">
        <v>2022</v>
      </c>
      <c r="F686" s="2" t="s">
        <v>1787</v>
      </c>
      <c r="G686" s="2" t="s">
        <v>3095</v>
      </c>
      <c r="H686" s="2" t="s">
        <v>3092</v>
      </c>
      <c r="I686" s="1" t="s">
        <v>14</v>
      </c>
      <c r="J686" s="1" t="s">
        <v>1588</v>
      </c>
      <c r="K686" s="17"/>
      <c r="L686" s="54"/>
      <c r="M686" s="39"/>
      <c r="N686" s="39"/>
      <c r="O686" s="39"/>
      <c r="P686" s="39"/>
      <c r="Q686" s="39"/>
      <c r="R686" s="39"/>
      <c r="S686" s="39"/>
      <c r="T686" s="39"/>
      <c r="U686" s="39"/>
      <c r="V686" s="39"/>
      <c r="W686" s="60" t="s">
        <v>1735</v>
      </c>
    </row>
    <row r="687" spans="1:23" s="79" customFormat="1" ht="51" x14ac:dyDescent="0.2">
      <c r="A687" s="1" t="s">
        <v>104</v>
      </c>
      <c r="B687" s="2" t="s">
        <v>10</v>
      </c>
      <c r="C687" s="2" t="s">
        <v>105</v>
      </c>
      <c r="D687" s="2" t="s">
        <v>36</v>
      </c>
      <c r="E687" s="2">
        <v>2022</v>
      </c>
      <c r="F687" s="2" t="s">
        <v>1789</v>
      </c>
      <c r="G687" s="2" t="s">
        <v>3095</v>
      </c>
      <c r="H687" s="2" t="s">
        <v>3092</v>
      </c>
      <c r="I687" s="1" t="s">
        <v>14</v>
      </c>
      <c r="J687" s="1" t="s">
        <v>3917</v>
      </c>
      <c r="K687" s="17"/>
      <c r="L687" s="54"/>
      <c r="M687" s="39"/>
      <c r="N687" s="39"/>
      <c r="O687" s="39"/>
      <c r="P687" s="39"/>
      <c r="Q687" s="39"/>
      <c r="R687" s="39"/>
      <c r="S687" s="39"/>
      <c r="T687" s="39"/>
      <c r="U687" s="39"/>
      <c r="V687" s="39"/>
      <c r="W687" s="60" t="s">
        <v>1735</v>
      </c>
    </row>
    <row r="688" spans="1:23" s="79" customFormat="1" ht="51" x14ac:dyDescent="0.2">
      <c r="A688" s="1" t="s">
        <v>104</v>
      </c>
      <c r="B688" s="2" t="s">
        <v>10</v>
      </c>
      <c r="C688" s="2" t="s">
        <v>105</v>
      </c>
      <c r="D688" s="2" t="s">
        <v>36</v>
      </c>
      <c r="E688" s="2">
        <v>2022</v>
      </c>
      <c r="F688" s="2" t="s">
        <v>1791</v>
      </c>
      <c r="G688" s="2" t="s">
        <v>3095</v>
      </c>
      <c r="H688" s="2" t="s">
        <v>3092</v>
      </c>
      <c r="I688" s="1" t="s">
        <v>14</v>
      </c>
      <c r="J688" s="1" t="s">
        <v>599</v>
      </c>
      <c r="K688" s="17"/>
      <c r="L688" s="54"/>
      <c r="M688" s="39"/>
      <c r="N688" s="39"/>
      <c r="O688" s="39"/>
      <c r="P688" s="39"/>
      <c r="Q688" s="39"/>
      <c r="R688" s="39"/>
      <c r="S688" s="39"/>
      <c r="T688" s="39"/>
      <c r="U688" s="39"/>
      <c r="V688" s="39"/>
      <c r="W688" s="60" t="s">
        <v>1735</v>
      </c>
    </row>
    <row r="689" spans="1:23" s="79" customFormat="1" ht="38.25" x14ac:dyDescent="0.2">
      <c r="A689" s="1" t="s">
        <v>104</v>
      </c>
      <c r="B689" s="2" t="s">
        <v>10</v>
      </c>
      <c r="C689" s="2" t="s">
        <v>105</v>
      </c>
      <c r="D689" s="2" t="s">
        <v>36</v>
      </c>
      <c r="E689" s="2">
        <v>2022</v>
      </c>
      <c r="F689" s="2" t="s">
        <v>1794</v>
      </c>
      <c r="G689" s="2" t="s">
        <v>3095</v>
      </c>
      <c r="H689" s="2" t="s">
        <v>3092</v>
      </c>
      <c r="I689" s="1" t="s">
        <v>14</v>
      </c>
      <c r="J689" s="1" t="s">
        <v>3918</v>
      </c>
      <c r="K689" s="17"/>
      <c r="L689" s="54"/>
      <c r="M689" s="39"/>
      <c r="N689" s="39"/>
      <c r="O689" s="39"/>
      <c r="P689" s="39"/>
      <c r="Q689" s="39"/>
      <c r="R689" s="39"/>
      <c r="S689" s="39"/>
      <c r="T689" s="39"/>
      <c r="U689" s="39"/>
      <c r="V689" s="39"/>
      <c r="W689" s="60" t="s">
        <v>1735</v>
      </c>
    </row>
    <row r="690" spans="1:23" s="79" customFormat="1" ht="51" x14ac:dyDescent="0.2">
      <c r="A690" s="1" t="s">
        <v>104</v>
      </c>
      <c r="B690" s="2" t="s">
        <v>10</v>
      </c>
      <c r="C690" s="2" t="s">
        <v>105</v>
      </c>
      <c r="D690" s="2" t="s">
        <v>36</v>
      </c>
      <c r="E690" s="2">
        <v>2022</v>
      </c>
      <c r="F690" s="2" t="s">
        <v>1796</v>
      </c>
      <c r="G690" s="2" t="s">
        <v>3095</v>
      </c>
      <c r="H690" s="2" t="s">
        <v>3092</v>
      </c>
      <c r="I690" s="1" t="s">
        <v>14</v>
      </c>
      <c r="J690" s="1" t="s">
        <v>3919</v>
      </c>
      <c r="K690" s="17"/>
      <c r="L690" s="54"/>
      <c r="M690" s="39"/>
      <c r="N690" s="39"/>
      <c r="O690" s="39"/>
      <c r="P690" s="39"/>
      <c r="Q690" s="39"/>
      <c r="R690" s="39"/>
      <c r="S690" s="39"/>
      <c r="T690" s="39"/>
      <c r="U690" s="39"/>
      <c r="V690" s="39"/>
      <c r="W690" s="60" t="s">
        <v>1735</v>
      </c>
    </row>
    <row r="691" spans="1:23" s="79" customFormat="1" ht="25.5" x14ac:dyDescent="0.2">
      <c r="A691" s="1" t="s">
        <v>104</v>
      </c>
      <c r="B691" s="2" t="s">
        <v>10</v>
      </c>
      <c r="C691" s="2" t="s">
        <v>105</v>
      </c>
      <c r="D691" s="2" t="s">
        <v>36</v>
      </c>
      <c r="E691" s="2">
        <v>2022</v>
      </c>
      <c r="F691" s="2" t="s">
        <v>1798</v>
      </c>
      <c r="G691" s="2" t="s">
        <v>3095</v>
      </c>
      <c r="H691" s="2" t="s">
        <v>3092</v>
      </c>
      <c r="I691" s="1" t="s">
        <v>14</v>
      </c>
      <c r="J691" s="1" t="s">
        <v>3920</v>
      </c>
      <c r="K691" s="17"/>
      <c r="L691" s="54"/>
      <c r="M691" s="39"/>
      <c r="N691" s="39"/>
      <c r="O691" s="39"/>
      <c r="P691" s="39"/>
      <c r="Q691" s="39"/>
      <c r="R691" s="39"/>
      <c r="S691" s="39"/>
      <c r="T691" s="39"/>
      <c r="U691" s="39"/>
      <c r="V691" s="39"/>
      <c r="W691" s="60" t="s">
        <v>1735</v>
      </c>
    </row>
    <row r="692" spans="1:23" s="79" customFormat="1" ht="102" x14ac:dyDescent="0.2">
      <c r="A692" s="1" t="s">
        <v>3921</v>
      </c>
      <c r="B692" s="2" t="s">
        <v>222</v>
      </c>
      <c r="C692" s="2" t="s">
        <v>3922</v>
      </c>
      <c r="D692" s="2" t="s">
        <v>197</v>
      </c>
      <c r="E692" s="2">
        <v>2022</v>
      </c>
      <c r="F692" s="2" t="s">
        <v>311</v>
      </c>
      <c r="G692" s="2" t="s">
        <v>3092</v>
      </c>
      <c r="H692" s="2" t="s">
        <v>3092</v>
      </c>
      <c r="I692" s="1" t="s">
        <v>3923</v>
      </c>
      <c r="J692" s="1" t="s">
        <v>3924</v>
      </c>
      <c r="K692" s="17"/>
      <c r="L692" s="54">
        <v>2.4E-2</v>
      </c>
      <c r="M692" s="39"/>
      <c r="N692" s="39"/>
      <c r="O692" s="39">
        <v>11.19</v>
      </c>
      <c r="P692" s="39"/>
      <c r="Q692" s="39"/>
      <c r="R692" s="39"/>
      <c r="S692" s="39"/>
      <c r="T692" s="39"/>
      <c r="U692" s="39"/>
      <c r="V692" s="39"/>
      <c r="W692" s="60" t="s">
        <v>3925</v>
      </c>
    </row>
    <row r="693" spans="1:23" s="79" customFormat="1" ht="25.5" x14ac:dyDescent="0.2">
      <c r="A693" s="1" t="s">
        <v>3926</v>
      </c>
      <c r="B693" s="2" t="s">
        <v>163</v>
      </c>
      <c r="C693" s="2" t="s">
        <v>3927</v>
      </c>
      <c r="D693" s="2" t="s">
        <v>336</v>
      </c>
      <c r="E693" s="2">
        <v>2022</v>
      </c>
      <c r="F693" s="2" t="s">
        <v>1776</v>
      </c>
      <c r="G693" s="2" t="s">
        <v>3095</v>
      </c>
      <c r="H693" s="2" t="s">
        <v>3092</v>
      </c>
      <c r="I693" s="1" t="s">
        <v>14</v>
      </c>
      <c r="J693" s="1" t="s">
        <v>3928</v>
      </c>
      <c r="K693" s="17"/>
      <c r="L693" s="54"/>
      <c r="M693" s="39"/>
      <c r="N693" s="39"/>
      <c r="O693" s="39"/>
      <c r="P693" s="39"/>
      <c r="Q693" s="39"/>
      <c r="R693" s="39"/>
      <c r="S693" s="39"/>
      <c r="T693" s="39"/>
      <c r="U693" s="39"/>
      <c r="V693" s="39"/>
      <c r="W693" s="60" t="s">
        <v>3929</v>
      </c>
    </row>
    <row r="694" spans="1:23" s="79" customFormat="1" ht="25.5" x14ac:dyDescent="0.2">
      <c r="A694" s="1" t="s">
        <v>3926</v>
      </c>
      <c r="B694" s="2" t="s">
        <v>163</v>
      </c>
      <c r="C694" s="2" t="s">
        <v>3927</v>
      </c>
      <c r="D694" s="2" t="s">
        <v>336</v>
      </c>
      <c r="E694" s="2">
        <v>2022</v>
      </c>
      <c r="F694" s="2" t="s">
        <v>1779</v>
      </c>
      <c r="G694" s="2" t="s">
        <v>3095</v>
      </c>
      <c r="H694" s="2" t="s">
        <v>3092</v>
      </c>
      <c r="I694" s="1" t="s">
        <v>14</v>
      </c>
      <c r="J694" s="1" t="s">
        <v>3930</v>
      </c>
      <c r="K694" s="17"/>
      <c r="L694" s="54"/>
      <c r="M694" s="39"/>
      <c r="N694" s="39"/>
      <c r="O694" s="39"/>
      <c r="P694" s="39"/>
      <c r="Q694" s="39"/>
      <c r="R694" s="39"/>
      <c r="S694" s="39"/>
      <c r="T694" s="39"/>
      <c r="U694" s="39"/>
      <c r="V694" s="39"/>
      <c r="W694" s="60" t="s">
        <v>3929</v>
      </c>
    </row>
    <row r="695" spans="1:23" s="79" customFormat="1" ht="38.25" x14ac:dyDescent="0.2">
      <c r="A695" s="1" t="s">
        <v>3926</v>
      </c>
      <c r="B695" s="2" t="s">
        <v>163</v>
      </c>
      <c r="C695" s="2" t="s">
        <v>3927</v>
      </c>
      <c r="D695" s="2" t="s">
        <v>336</v>
      </c>
      <c r="E695" s="2">
        <v>2022</v>
      </c>
      <c r="F695" s="2" t="s">
        <v>1781</v>
      </c>
      <c r="G695" s="2" t="s">
        <v>3095</v>
      </c>
      <c r="H695" s="2" t="s">
        <v>3092</v>
      </c>
      <c r="I695" s="1" t="s">
        <v>14</v>
      </c>
      <c r="J695" s="1" t="s">
        <v>3931</v>
      </c>
      <c r="K695" s="17"/>
      <c r="L695" s="54"/>
      <c r="M695" s="39"/>
      <c r="N695" s="39"/>
      <c r="O695" s="39"/>
      <c r="P695" s="39"/>
      <c r="Q695" s="39"/>
      <c r="R695" s="39"/>
      <c r="S695" s="39"/>
      <c r="T695" s="39"/>
      <c r="U695" s="39"/>
      <c r="V695" s="39"/>
      <c r="W695" s="60" t="s">
        <v>3929</v>
      </c>
    </row>
    <row r="696" spans="1:23" s="79" customFormat="1" ht="25.5" x14ac:dyDescent="0.2">
      <c r="A696" s="1" t="s">
        <v>3926</v>
      </c>
      <c r="B696" s="2" t="s">
        <v>163</v>
      </c>
      <c r="C696" s="2" t="s">
        <v>3927</v>
      </c>
      <c r="D696" s="2" t="s">
        <v>336</v>
      </c>
      <c r="E696" s="2">
        <v>2022</v>
      </c>
      <c r="F696" s="2" t="s">
        <v>1783</v>
      </c>
      <c r="G696" s="2" t="s">
        <v>3095</v>
      </c>
      <c r="H696" s="2" t="s">
        <v>3092</v>
      </c>
      <c r="I696" s="1" t="s">
        <v>14</v>
      </c>
      <c r="J696" s="1" t="s">
        <v>3932</v>
      </c>
      <c r="K696" s="17"/>
      <c r="L696" s="54"/>
      <c r="M696" s="39"/>
      <c r="N696" s="39"/>
      <c r="O696" s="39"/>
      <c r="P696" s="39"/>
      <c r="Q696" s="39"/>
      <c r="R696" s="39"/>
      <c r="S696" s="39"/>
      <c r="T696" s="39"/>
      <c r="U696" s="39"/>
      <c r="V696" s="39"/>
      <c r="W696" s="60" t="s">
        <v>3929</v>
      </c>
    </row>
    <row r="697" spans="1:23" s="79" customFormat="1" ht="25.5" x14ac:dyDescent="0.2">
      <c r="A697" s="1" t="s">
        <v>3926</v>
      </c>
      <c r="B697" s="2" t="s">
        <v>163</v>
      </c>
      <c r="C697" s="2" t="s">
        <v>3927</v>
      </c>
      <c r="D697" s="2" t="s">
        <v>336</v>
      </c>
      <c r="E697" s="2">
        <v>2022</v>
      </c>
      <c r="F697" s="2" t="s">
        <v>1785</v>
      </c>
      <c r="G697" s="2" t="s">
        <v>3095</v>
      </c>
      <c r="H697" s="2" t="s">
        <v>3092</v>
      </c>
      <c r="I697" s="1" t="s">
        <v>14</v>
      </c>
      <c r="J697" s="1" t="s">
        <v>3933</v>
      </c>
      <c r="K697" s="17"/>
      <c r="L697" s="54"/>
      <c r="M697" s="39"/>
      <c r="N697" s="39"/>
      <c r="O697" s="39"/>
      <c r="P697" s="39"/>
      <c r="Q697" s="39"/>
      <c r="R697" s="39"/>
      <c r="S697" s="39"/>
      <c r="T697" s="39"/>
      <c r="U697" s="39"/>
      <c r="V697" s="39"/>
      <c r="W697" s="60" t="s">
        <v>3929</v>
      </c>
    </row>
    <row r="698" spans="1:23" s="79" customFormat="1" ht="25.5" x14ac:dyDescent="0.2">
      <c r="A698" s="1" t="s">
        <v>3926</v>
      </c>
      <c r="B698" s="2" t="s">
        <v>163</v>
      </c>
      <c r="C698" s="2" t="s">
        <v>3927</v>
      </c>
      <c r="D698" s="2" t="s">
        <v>336</v>
      </c>
      <c r="E698" s="2">
        <v>2022</v>
      </c>
      <c r="F698" s="2" t="s">
        <v>1787</v>
      </c>
      <c r="G698" s="2" t="s">
        <v>3095</v>
      </c>
      <c r="H698" s="2" t="s">
        <v>3092</v>
      </c>
      <c r="I698" s="1" t="s">
        <v>14</v>
      </c>
      <c r="J698" s="1" t="s">
        <v>3934</v>
      </c>
      <c r="K698" s="17"/>
      <c r="L698" s="54"/>
      <c r="M698" s="39"/>
      <c r="N698" s="39"/>
      <c r="O698" s="39"/>
      <c r="P698" s="39"/>
      <c r="Q698" s="39"/>
      <c r="R698" s="39"/>
      <c r="S698" s="39"/>
      <c r="T698" s="39"/>
      <c r="U698" s="39"/>
      <c r="V698" s="39"/>
      <c r="W698" s="60" t="s">
        <v>3929</v>
      </c>
    </row>
    <row r="699" spans="1:23" s="79" customFormat="1" ht="25.5" x14ac:dyDescent="0.2">
      <c r="A699" s="1" t="s">
        <v>3926</v>
      </c>
      <c r="B699" s="2" t="s">
        <v>163</v>
      </c>
      <c r="C699" s="2" t="s">
        <v>3927</v>
      </c>
      <c r="D699" s="2" t="s">
        <v>336</v>
      </c>
      <c r="E699" s="2">
        <v>2022</v>
      </c>
      <c r="F699" s="2" t="s">
        <v>1789</v>
      </c>
      <c r="G699" s="2" t="s">
        <v>3095</v>
      </c>
      <c r="H699" s="2" t="s">
        <v>3092</v>
      </c>
      <c r="I699" s="1" t="s">
        <v>14</v>
      </c>
      <c r="J699" s="1" t="s">
        <v>3935</v>
      </c>
      <c r="K699" s="17"/>
      <c r="L699" s="54"/>
      <c r="M699" s="39"/>
      <c r="N699" s="39"/>
      <c r="O699" s="39"/>
      <c r="P699" s="39"/>
      <c r="Q699" s="39"/>
      <c r="R699" s="39"/>
      <c r="S699" s="39"/>
      <c r="T699" s="39"/>
      <c r="U699" s="39"/>
      <c r="V699" s="39"/>
      <c r="W699" s="60" t="s">
        <v>3929</v>
      </c>
    </row>
    <row r="700" spans="1:23" s="79" customFormat="1" ht="25.5" x14ac:dyDescent="0.2">
      <c r="A700" s="1" t="s">
        <v>3926</v>
      </c>
      <c r="B700" s="2" t="s">
        <v>163</v>
      </c>
      <c r="C700" s="2" t="s">
        <v>3927</v>
      </c>
      <c r="D700" s="2" t="s">
        <v>336</v>
      </c>
      <c r="E700" s="2">
        <v>2022</v>
      </c>
      <c r="F700" s="2" t="s">
        <v>1791</v>
      </c>
      <c r="G700" s="2" t="s">
        <v>3095</v>
      </c>
      <c r="H700" s="2" t="s">
        <v>3092</v>
      </c>
      <c r="I700" s="1" t="s">
        <v>14</v>
      </c>
      <c r="J700" s="1" t="s">
        <v>3936</v>
      </c>
      <c r="K700" s="17"/>
      <c r="L700" s="54"/>
      <c r="M700" s="39"/>
      <c r="N700" s="39"/>
      <c r="O700" s="39"/>
      <c r="P700" s="39"/>
      <c r="Q700" s="39"/>
      <c r="R700" s="39"/>
      <c r="S700" s="39"/>
      <c r="T700" s="39"/>
      <c r="U700" s="39"/>
      <c r="V700" s="39"/>
      <c r="W700" s="60" t="s">
        <v>3929</v>
      </c>
    </row>
    <row r="701" spans="1:23" s="79" customFormat="1" ht="25.5" x14ac:dyDescent="0.2">
      <c r="A701" s="1" t="s">
        <v>3926</v>
      </c>
      <c r="B701" s="2" t="s">
        <v>163</v>
      </c>
      <c r="C701" s="2" t="s">
        <v>3927</v>
      </c>
      <c r="D701" s="2" t="s">
        <v>336</v>
      </c>
      <c r="E701" s="2">
        <v>2022</v>
      </c>
      <c r="F701" s="2" t="s">
        <v>311</v>
      </c>
      <c r="G701" s="2" t="s">
        <v>3095</v>
      </c>
      <c r="H701" s="2" t="s">
        <v>3092</v>
      </c>
      <c r="I701" s="1" t="s">
        <v>14</v>
      </c>
      <c r="J701" s="1" t="s">
        <v>3937</v>
      </c>
      <c r="K701" s="17"/>
      <c r="L701" s="54"/>
      <c r="M701" s="39"/>
      <c r="N701" s="39"/>
      <c r="O701" s="39"/>
      <c r="P701" s="39"/>
      <c r="Q701" s="39"/>
      <c r="R701" s="39"/>
      <c r="S701" s="39"/>
      <c r="T701" s="39"/>
      <c r="U701" s="39"/>
      <c r="V701" s="39"/>
      <c r="W701" s="60" t="s">
        <v>3929</v>
      </c>
    </row>
    <row r="702" spans="1:23" s="79" customFormat="1" ht="25.5" x14ac:dyDescent="0.2">
      <c r="A702" s="1" t="s">
        <v>3926</v>
      </c>
      <c r="B702" s="2" t="s">
        <v>163</v>
      </c>
      <c r="C702" s="2" t="s">
        <v>3927</v>
      </c>
      <c r="D702" s="2" t="s">
        <v>336</v>
      </c>
      <c r="E702" s="2">
        <v>2022</v>
      </c>
      <c r="F702" s="2" t="s">
        <v>1794</v>
      </c>
      <c r="G702" s="2" t="s">
        <v>3095</v>
      </c>
      <c r="H702" s="2" t="s">
        <v>3092</v>
      </c>
      <c r="I702" s="1" t="s">
        <v>14</v>
      </c>
      <c r="J702" s="1" t="s">
        <v>3938</v>
      </c>
      <c r="K702" s="17"/>
      <c r="L702" s="54"/>
      <c r="M702" s="39"/>
      <c r="N702" s="39"/>
      <c r="O702" s="39"/>
      <c r="P702" s="39"/>
      <c r="Q702" s="39"/>
      <c r="R702" s="39"/>
      <c r="S702" s="39"/>
      <c r="T702" s="39"/>
      <c r="U702" s="39"/>
      <c r="V702" s="39"/>
      <c r="W702" s="60" t="s">
        <v>3929</v>
      </c>
    </row>
    <row r="703" spans="1:23" s="79" customFormat="1" ht="25.5" x14ac:dyDescent="0.2">
      <c r="A703" s="1" t="s">
        <v>3926</v>
      </c>
      <c r="B703" s="2" t="s">
        <v>163</v>
      </c>
      <c r="C703" s="2" t="s">
        <v>3927</v>
      </c>
      <c r="D703" s="2" t="s">
        <v>336</v>
      </c>
      <c r="E703" s="2">
        <v>2022</v>
      </c>
      <c r="F703" s="2" t="s">
        <v>1796</v>
      </c>
      <c r="G703" s="2" t="s">
        <v>3095</v>
      </c>
      <c r="H703" s="2" t="s">
        <v>3092</v>
      </c>
      <c r="I703" s="1" t="s">
        <v>14</v>
      </c>
      <c r="J703" s="1" t="s">
        <v>3939</v>
      </c>
      <c r="K703" s="17"/>
      <c r="L703" s="54"/>
      <c r="M703" s="39"/>
      <c r="N703" s="39"/>
      <c r="O703" s="39"/>
      <c r="P703" s="39"/>
      <c r="Q703" s="39"/>
      <c r="R703" s="39"/>
      <c r="S703" s="39"/>
      <c r="T703" s="39"/>
      <c r="U703" s="39"/>
      <c r="V703" s="39"/>
      <c r="W703" s="60" t="s">
        <v>3929</v>
      </c>
    </row>
    <row r="704" spans="1:23" s="79" customFormat="1" ht="25.5" x14ac:dyDescent="0.2">
      <c r="A704" s="1" t="s">
        <v>3926</v>
      </c>
      <c r="B704" s="2" t="s">
        <v>163</v>
      </c>
      <c r="C704" s="2" t="s">
        <v>3927</v>
      </c>
      <c r="D704" s="2" t="s">
        <v>336</v>
      </c>
      <c r="E704" s="2">
        <v>2022</v>
      </c>
      <c r="F704" s="2" t="s">
        <v>1798</v>
      </c>
      <c r="G704" s="2" t="s">
        <v>3095</v>
      </c>
      <c r="H704" s="2" t="s">
        <v>3092</v>
      </c>
      <c r="I704" s="1" t="s">
        <v>14</v>
      </c>
      <c r="J704" s="1" t="s">
        <v>3940</v>
      </c>
      <c r="K704" s="17"/>
      <c r="L704" s="54"/>
      <c r="M704" s="39"/>
      <c r="N704" s="39"/>
      <c r="O704" s="39"/>
      <c r="P704" s="39"/>
      <c r="Q704" s="39"/>
      <c r="R704" s="39"/>
      <c r="S704" s="39"/>
      <c r="T704" s="39"/>
      <c r="U704" s="39"/>
      <c r="V704" s="39"/>
      <c r="W704" s="60" t="s">
        <v>3929</v>
      </c>
    </row>
    <row r="705" spans="1:23" s="79" customFormat="1" ht="153" x14ac:dyDescent="0.2">
      <c r="A705" s="1" t="s">
        <v>3941</v>
      </c>
      <c r="B705" s="2" t="s">
        <v>196</v>
      </c>
      <c r="C705" s="2" t="s">
        <v>3942</v>
      </c>
      <c r="D705" s="2" t="s">
        <v>2640</v>
      </c>
      <c r="E705" s="2">
        <v>2022</v>
      </c>
      <c r="F705" s="2" t="s">
        <v>1794</v>
      </c>
      <c r="G705" s="2" t="s">
        <v>3093</v>
      </c>
      <c r="H705" s="2" t="s">
        <v>3092</v>
      </c>
      <c r="I705" s="1" t="s">
        <v>14</v>
      </c>
      <c r="J705" s="1" t="s">
        <v>3943</v>
      </c>
      <c r="K705" s="17"/>
      <c r="L705" s="54">
        <v>0.46750000000000003</v>
      </c>
      <c r="M705" s="39"/>
      <c r="N705" s="39"/>
      <c r="O705" s="39">
        <f>(1577+423)*0.8</f>
        <v>1600</v>
      </c>
      <c r="P705" s="39"/>
      <c r="Q705" s="39"/>
      <c r="R705" s="39"/>
      <c r="S705" s="39"/>
      <c r="T705" s="39"/>
      <c r="U705" s="39"/>
      <c r="V705" s="39"/>
      <c r="W705" s="60" t="s">
        <v>1680</v>
      </c>
    </row>
    <row r="706" spans="1:23" s="79" customFormat="1" ht="25.5" x14ac:dyDescent="0.2">
      <c r="A706" s="1" t="s">
        <v>289</v>
      </c>
      <c r="B706" s="2" t="s">
        <v>32</v>
      </c>
      <c r="C706" s="2" t="s">
        <v>290</v>
      </c>
      <c r="D706" s="2" t="s">
        <v>92</v>
      </c>
      <c r="E706" s="2">
        <v>2022</v>
      </c>
      <c r="F706" s="2" t="s">
        <v>1776</v>
      </c>
      <c r="G706" s="2" t="s">
        <v>3095</v>
      </c>
      <c r="H706" s="2" t="s">
        <v>3092</v>
      </c>
      <c r="I706" s="1" t="s">
        <v>14</v>
      </c>
      <c r="J706" s="1" t="s">
        <v>2687</v>
      </c>
      <c r="K706" s="17"/>
      <c r="L706" s="54">
        <v>0.04</v>
      </c>
      <c r="M706" s="39"/>
      <c r="N706" s="39"/>
      <c r="O706" s="39"/>
      <c r="P706" s="39"/>
      <c r="Q706" s="39"/>
      <c r="R706" s="39"/>
      <c r="S706" s="39"/>
      <c r="T706" s="39"/>
      <c r="U706" s="39"/>
      <c r="V706" s="39">
        <v>56</v>
      </c>
      <c r="W706" s="60" t="s">
        <v>1699</v>
      </c>
    </row>
    <row r="707" spans="1:23" s="79" customFormat="1" ht="25.5" x14ac:dyDescent="0.2">
      <c r="A707" s="1" t="s">
        <v>289</v>
      </c>
      <c r="B707" s="2" t="s">
        <v>32</v>
      </c>
      <c r="C707" s="2" t="s">
        <v>290</v>
      </c>
      <c r="D707" s="2" t="s">
        <v>92</v>
      </c>
      <c r="E707" s="2">
        <v>2022</v>
      </c>
      <c r="F707" s="2" t="s">
        <v>1779</v>
      </c>
      <c r="G707" s="2" t="s">
        <v>3095</v>
      </c>
      <c r="H707" s="2" t="s">
        <v>3092</v>
      </c>
      <c r="I707" s="1" t="s">
        <v>14</v>
      </c>
      <c r="J707" s="1" t="s">
        <v>3944</v>
      </c>
      <c r="K707" s="17"/>
      <c r="L707" s="54">
        <v>0.04</v>
      </c>
      <c r="M707" s="39"/>
      <c r="N707" s="39"/>
      <c r="O707" s="39"/>
      <c r="P707" s="39"/>
      <c r="Q707" s="39"/>
      <c r="R707" s="39"/>
      <c r="S707" s="39"/>
      <c r="T707" s="39"/>
      <c r="U707" s="39"/>
      <c r="V707" s="39">
        <v>60</v>
      </c>
      <c r="W707" s="60" t="s">
        <v>1699</v>
      </c>
    </row>
    <row r="708" spans="1:23" s="79" customFormat="1" ht="25.5" x14ac:dyDescent="0.2">
      <c r="A708" s="1" t="s">
        <v>289</v>
      </c>
      <c r="B708" s="2" t="s">
        <v>32</v>
      </c>
      <c r="C708" s="2" t="s">
        <v>290</v>
      </c>
      <c r="D708" s="2" t="s">
        <v>92</v>
      </c>
      <c r="E708" s="2">
        <v>2022</v>
      </c>
      <c r="F708" s="2" t="s">
        <v>1781</v>
      </c>
      <c r="G708" s="2" t="s">
        <v>3095</v>
      </c>
      <c r="H708" s="2" t="s">
        <v>3092</v>
      </c>
      <c r="I708" s="1" t="s">
        <v>14</v>
      </c>
      <c r="J708" s="1" t="s">
        <v>3945</v>
      </c>
      <c r="K708" s="17"/>
      <c r="L708" s="54">
        <v>0.04</v>
      </c>
      <c r="M708" s="39"/>
      <c r="N708" s="39"/>
      <c r="O708" s="39"/>
      <c r="P708" s="39"/>
      <c r="Q708" s="39"/>
      <c r="R708" s="39"/>
      <c r="S708" s="39"/>
      <c r="T708" s="39"/>
      <c r="U708" s="39"/>
      <c r="V708" s="39">
        <v>30</v>
      </c>
      <c r="W708" s="60" t="s">
        <v>1699</v>
      </c>
    </row>
    <row r="709" spans="1:23" s="79" customFormat="1" ht="25.5" x14ac:dyDescent="0.2">
      <c r="A709" s="1" t="s">
        <v>289</v>
      </c>
      <c r="B709" s="2" t="s">
        <v>32</v>
      </c>
      <c r="C709" s="2" t="s">
        <v>290</v>
      </c>
      <c r="D709" s="2" t="s">
        <v>92</v>
      </c>
      <c r="E709" s="2">
        <v>2022</v>
      </c>
      <c r="F709" s="2" t="s">
        <v>1783</v>
      </c>
      <c r="G709" s="2" t="s">
        <v>3095</v>
      </c>
      <c r="H709" s="2" t="s">
        <v>3092</v>
      </c>
      <c r="I709" s="1" t="s">
        <v>14</v>
      </c>
      <c r="J709" s="1" t="s">
        <v>3946</v>
      </c>
      <c r="K709" s="17"/>
      <c r="L709" s="54">
        <v>0.04</v>
      </c>
      <c r="M709" s="39"/>
      <c r="N709" s="39"/>
      <c r="O709" s="39"/>
      <c r="P709" s="39"/>
      <c r="Q709" s="39"/>
      <c r="R709" s="39"/>
      <c r="S709" s="39"/>
      <c r="T709" s="39"/>
      <c r="U709" s="39"/>
      <c r="V709" s="39">
        <v>56</v>
      </c>
      <c r="W709" s="60" t="s">
        <v>1699</v>
      </c>
    </row>
    <row r="710" spans="1:23" s="79" customFormat="1" ht="25.5" x14ac:dyDescent="0.2">
      <c r="A710" s="1" t="s">
        <v>289</v>
      </c>
      <c r="B710" s="2" t="s">
        <v>32</v>
      </c>
      <c r="C710" s="2" t="s">
        <v>290</v>
      </c>
      <c r="D710" s="2" t="s">
        <v>92</v>
      </c>
      <c r="E710" s="2">
        <v>2022</v>
      </c>
      <c r="F710" s="2" t="s">
        <v>1785</v>
      </c>
      <c r="G710" s="2" t="s">
        <v>3095</v>
      </c>
      <c r="H710" s="2" t="s">
        <v>3092</v>
      </c>
      <c r="I710" s="1" t="s">
        <v>14</v>
      </c>
      <c r="J710" s="1" t="s">
        <v>3947</v>
      </c>
      <c r="K710" s="17"/>
      <c r="L710" s="54">
        <v>0.04</v>
      </c>
      <c r="M710" s="39"/>
      <c r="N710" s="39"/>
      <c r="O710" s="39"/>
      <c r="P710" s="39"/>
      <c r="Q710" s="39"/>
      <c r="R710" s="39"/>
      <c r="S710" s="39"/>
      <c r="T710" s="39"/>
      <c r="U710" s="39"/>
      <c r="V710" s="39">
        <v>90</v>
      </c>
      <c r="W710" s="60" t="s">
        <v>1699</v>
      </c>
    </row>
    <row r="711" spans="1:23" s="79" customFormat="1" ht="25.5" x14ac:dyDescent="0.2">
      <c r="A711" s="1" t="s">
        <v>289</v>
      </c>
      <c r="B711" s="2" t="s">
        <v>32</v>
      </c>
      <c r="C711" s="2" t="s">
        <v>290</v>
      </c>
      <c r="D711" s="2" t="s">
        <v>92</v>
      </c>
      <c r="E711" s="2">
        <v>2022</v>
      </c>
      <c r="F711" s="2" t="s">
        <v>1787</v>
      </c>
      <c r="G711" s="2" t="s">
        <v>3095</v>
      </c>
      <c r="H711" s="2" t="s">
        <v>3092</v>
      </c>
      <c r="I711" s="1" t="s">
        <v>14</v>
      </c>
      <c r="J711" s="1" t="s">
        <v>3948</v>
      </c>
      <c r="K711" s="17"/>
      <c r="L711" s="54">
        <v>0.04</v>
      </c>
      <c r="M711" s="39"/>
      <c r="N711" s="39"/>
      <c r="O711" s="39"/>
      <c r="P711" s="39"/>
      <c r="Q711" s="39"/>
      <c r="R711" s="39"/>
      <c r="S711" s="39"/>
      <c r="T711" s="39"/>
      <c r="U711" s="39"/>
      <c r="V711" s="39">
        <v>90</v>
      </c>
      <c r="W711" s="60" t="s">
        <v>1699</v>
      </c>
    </row>
    <row r="712" spans="1:23" s="79" customFormat="1" ht="25.5" x14ac:dyDescent="0.2">
      <c r="A712" s="1" t="s">
        <v>289</v>
      </c>
      <c r="B712" s="2" t="s">
        <v>32</v>
      </c>
      <c r="C712" s="2" t="s">
        <v>290</v>
      </c>
      <c r="D712" s="2" t="s">
        <v>92</v>
      </c>
      <c r="E712" s="2">
        <v>2022</v>
      </c>
      <c r="F712" s="2" t="s">
        <v>1789</v>
      </c>
      <c r="G712" s="2" t="s">
        <v>3095</v>
      </c>
      <c r="H712" s="2" t="s">
        <v>3092</v>
      </c>
      <c r="I712" s="1" t="s">
        <v>14</v>
      </c>
      <c r="J712" s="1" t="s">
        <v>3949</v>
      </c>
      <c r="K712" s="17"/>
      <c r="L712" s="54">
        <v>0.04</v>
      </c>
      <c r="M712" s="39"/>
      <c r="N712" s="39"/>
      <c r="O712" s="39"/>
      <c r="P712" s="39"/>
      <c r="Q712" s="39"/>
      <c r="R712" s="39"/>
      <c r="S712" s="39"/>
      <c r="T712" s="39"/>
      <c r="U712" s="39"/>
      <c r="V712" s="39">
        <v>84</v>
      </c>
      <c r="W712" s="60" t="s">
        <v>1699</v>
      </c>
    </row>
    <row r="713" spans="1:23" s="79" customFormat="1" ht="25.5" x14ac:dyDescent="0.2">
      <c r="A713" s="1" t="s">
        <v>289</v>
      </c>
      <c r="B713" s="2" t="s">
        <v>32</v>
      </c>
      <c r="C713" s="2" t="s">
        <v>290</v>
      </c>
      <c r="D713" s="2" t="s">
        <v>92</v>
      </c>
      <c r="E713" s="2">
        <v>2022</v>
      </c>
      <c r="F713" s="2" t="s">
        <v>1791</v>
      </c>
      <c r="G713" s="2" t="s">
        <v>3095</v>
      </c>
      <c r="H713" s="2" t="s">
        <v>3092</v>
      </c>
      <c r="I713" s="1" t="s">
        <v>14</v>
      </c>
      <c r="J713" s="1" t="s">
        <v>3950</v>
      </c>
      <c r="K713" s="17"/>
      <c r="L713" s="54">
        <v>0.04</v>
      </c>
      <c r="M713" s="39"/>
      <c r="N713" s="39"/>
      <c r="O713" s="39"/>
      <c r="P713" s="39"/>
      <c r="Q713" s="39"/>
      <c r="R713" s="39"/>
      <c r="S713" s="39"/>
      <c r="T713" s="39"/>
      <c r="U713" s="39"/>
      <c r="V713" s="39">
        <v>84</v>
      </c>
      <c r="W713" s="60" t="s">
        <v>1699</v>
      </c>
    </row>
    <row r="714" spans="1:23" s="79" customFormat="1" ht="25.5" x14ac:dyDescent="0.2">
      <c r="A714" s="1" t="s">
        <v>289</v>
      </c>
      <c r="B714" s="2" t="s">
        <v>32</v>
      </c>
      <c r="C714" s="2" t="s">
        <v>290</v>
      </c>
      <c r="D714" s="2" t="s">
        <v>92</v>
      </c>
      <c r="E714" s="2">
        <v>2022</v>
      </c>
      <c r="F714" s="2" t="s">
        <v>311</v>
      </c>
      <c r="G714" s="2" t="s">
        <v>3095</v>
      </c>
      <c r="H714" s="2" t="s">
        <v>3092</v>
      </c>
      <c r="I714" s="1" t="s">
        <v>14</v>
      </c>
      <c r="J714" s="1" t="s">
        <v>3951</v>
      </c>
      <c r="K714" s="17"/>
      <c r="L714" s="54">
        <v>0.04</v>
      </c>
      <c r="M714" s="39"/>
      <c r="N714" s="39"/>
      <c r="O714" s="39"/>
      <c r="P714" s="39"/>
      <c r="Q714" s="39"/>
      <c r="R714" s="39"/>
      <c r="S714" s="39"/>
      <c r="T714" s="39"/>
      <c r="U714" s="39"/>
      <c r="V714" s="39">
        <v>112</v>
      </c>
      <c r="W714" s="60" t="s">
        <v>1699</v>
      </c>
    </row>
    <row r="715" spans="1:23" s="79" customFormat="1" ht="38.25" x14ac:dyDescent="0.2">
      <c r="A715" s="1" t="s">
        <v>289</v>
      </c>
      <c r="B715" s="2" t="s">
        <v>32</v>
      </c>
      <c r="C715" s="2" t="s">
        <v>290</v>
      </c>
      <c r="D715" s="2" t="s">
        <v>92</v>
      </c>
      <c r="E715" s="2">
        <v>2022</v>
      </c>
      <c r="F715" s="2" t="s">
        <v>1794</v>
      </c>
      <c r="G715" s="2" t="s">
        <v>3095</v>
      </c>
      <c r="H715" s="2" t="s">
        <v>3092</v>
      </c>
      <c r="I715" s="1" t="s">
        <v>14</v>
      </c>
      <c r="J715" s="1" t="s">
        <v>3952</v>
      </c>
      <c r="K715" s="17"/>
      <c r="L715" s="54">
        <v>0.04</v>
      </c>
      <c r="M715" s="39"/>
      <c r="N715" s="39"/>
      <c r="O715" s="39"/>
      <c r="P715" s="39"/>
      <c r="Q715" s="39"/>
      <c r="R715" s="39"/>
      <c r="S715" s="39"/>
      <c r="T715" s="39"/>
      <c r="U715" s="39"/>
      <c r="V715" s="39">
        <v>135</v>
      </c>
      <c r="W715" s="60" t="s">
        <v>1699</v>
      </c>
    </row>
    <row r="716" spans="1:23" s="79" customFormat="1" ht="38.25" x14ac:dyDescent="0.2">
      <c r="A716" s="1" t="s">
        <v>289</v>
      </c>
      <c r="B716" s="2" t="s">
        <v>32</v>
      </c>
      <c r="C716" s="2" t="s">
        <v>290</v>
      </c>
      <c r="D716" s="2" t="s">
        <v>92</v>
      </c>
      <c r="E716" s="2">
        <v>2022</v>
      </c>
      <c r="F716" s="2" t="s">
        <v>1796</v>
      </c>
      <c r="G716" s="2" t="s">
        <v>3095</v>
      </c>
      <c r="H716" s="2" t="s">
        <v>3092</v>
      </c>
      <c r="I716" s="1" t="s">
        <v>14</v>
      </c>
      <c r="J716" s="1" t="s">
        <v>3953</v>
      </c>
      <c r="K716" s="17"/>
      <c r="L716" s="54">
        <v>0.04</v>
      </c>
      <c r="M716" s="39"/>
      <c r="N716" s="39"/>
      <c r="O716" s="39"/>
      <c r="P716" s="39"/>
      <c r="Q716" s="39"/>
      <c r="R716" s="39"/>
      <c r="S716" s="39"/>
      <c r="T716" s="39"/>
      <c r="U716" s="39"/>
      <c r="V716" s="39">
        <v>140</v>
      </c>
      <c r="W716" s="60" t="s">
        <v>1699</v>
      </c>
    </row>
    <row r="717" spans="1:23" s="79" customFormat="1" ht="38.25" x14ac:dyDescent="0.2">
      <c r="A717" s="1" t="s">
        <v>289</v>
      </c>
      <c r="B717" s="2" t="s">
        <v>32</v>
      </c>
      <c r="C717" s="2" t="s">
        <v>290</v>
      </c>
      <c r="D717" s="2" t="s">
        <v>92</v>
      </c>
      <c r="E717" s="2">
        <v>2022</v>
      </c>
      <c r="F717" s="2" t="s">
        <v>1798</v>
      </c>
      <c r="G717" s="2" t="s">
        <v>3095</v>
      </c>
      <c r="H717" s="2" t="s">
        <v>3092</v>
      </c>
      <c r="I717" s="1" t="s">
        <v>14</v>
      </c>
      <c r="J717" s="1" t="s">
        <v>3954</v>
      </c>
      <c r="K717" s="17"/>
      <c r="L717" s="54">
        <v>0.04</v>
      </c>
      <c r="M717" s="39"/>
      <c r="N717" s="39"/>
      <c r="O717" s="39"/>
      <c r="P717" s="39"/>
      <c r="Q717" s="39"/>
      <c r="R717" s="39"/>
      <c r="S717" s="39"/>
      <c r="T717" s="39"/>
      <c r="U717" s="39"/>
      <c r="V717" s="39">
        <v>100</v>
      </c>
      <c r="W717" s="60" t="s">
        <v>1699</v>
      </c>
    </row>
    <row r="718" spans="1:23" s="79" customFormat="1" ht="38.25" x14ac:dyDescent="0.2">
      <c r="A718" s="1" t="s">
        <v>2688</v>
      </c>
      <c r="B718" s="2" t="s">
        <v>2689</v>
      </c>
      <c r="C718" s="2" t="s">
        <v>2690</v>
      </c>
      <c r="D718" s="2" t="s">
        <v>305</v>
      </c>
      <c r="E718" s="2">
        <v>2022</v>
      </c>
      <c r="F718" s="2" t="s">
        <v>311</v>
      </c>
      <c r="G718" s="2" t="s">
        <v>3092</v>
      </c>
      <c r="H718" s="2" t="s">
        <v>3093</v>
      </c>
      <c r="I718" s="1" t="s">
        <v>3955</v>
      </c>
      <c r="J718" s="1" t="s">
        <v>14</v>
      </c>
      <c r="K718" s="17"/>
      <c r="L718" s="54"/>
      <c r="M718" s="39"/>
      <c r="N718" s="39"/>
      <c r="O718" s="39"/>
      <c r="P718" s="39"/>
      <c r="Q718" s="39"/>
      <c r="R718" s="39"/>
      <c r="S718" s="39"/>
      <c r="T718" s="39"/>
      <c r="U718" s="39"/>
      <c r="V718" s="39"/>
      <c r="W718" s="60" t="s">
        <v>3759</v>
      </c>
    </row>
    <row r="719" spans="1:23" s="79" customFormat="1" ht="25.5" x14ac:dyDescent="0.2">
      <c r="A719" s="1" t="s">
        <v>319</v>
      </c>
      <c r="B719" s="2" t="s">
        <v>318</v>
      </c>
      <c r="C719" s="2" t="s">
        <v>320</v>
      </c>
      <c r="D719" s="2" t="s">
        <v>305</v>
      </c>
      <c r="E719" s="2">
        <v>2022</v>
      </c>
      <c r="F719" s="2" t="s">
        <v>311</v>
      </c>
      <c r="G719" s="2" t="s">
        <v>3092</v>
      </c>
      <c r="H719" s="2" t="s">
        <v>3092</v>
      </c>
      <c r="I719" s="1" t="s">
        <v>3956</v>
      </c>
      <c r="J719" s="1" t="s">
        <v>3957</v>
      </c>
      <c r="K719" s="17"/>
      <c r="L719" s="54"/>
      <c r="M719" s="39"/>
      <c r="N719" s="39"/>
      <c r="O719" s="39"/>
      <c r="P719" s="39"/>
      <c r="Q719" s="39"/>
      <c r="R719" s="39"/>
      <c r="S719" s="39"/>
      <c r="T719" s="39"/>
      <c r="U719" s="39"/>
      <c r="V719" s="39"/>
      <c r="W719" s="60" t="s">
        <v>1683</v>
      </c>
    </row>
    <row r="720" spans="1:23" s="79" customFormat="1" ht="102" x14ac:dyDescent="0.2">
      <c r="A720" s="1" t="s">
        <v>3958</v>
      </c>
      <c r="B720" s="2" t="s">
        <v>3959</v>
      </c>
      <c r="C720" s="2" t="s">
        <v>3960</v>
      </c>
      <c r="D720" s="2" t="s">
        <v>74</v>
      </c>
      <c r="E720" s="2">
        <v>2022</v>
      </c>
      <c r="F720" s="2" t="s">
        <v>1794</v>
      </c>
      <c r="G720" s="2" t="s">
        <v>3095</v>
      </c>
      <c r="H720" s="2" t="s">
        <v>3092</v>
      </c>
      <c r="I720" s="1" t="s">
        <v>14</v>
      </c>
      <c r="J720" s="1" t="s">
        <v>3961</v>
      </c>
      <c r="K720" s="17"/>
      <c r="L720" s="80"/>
      <c r="M720" s="15"/>
      <c r="N720" s="15"/>
      <c r="O720" s="15"/>
      <c r="P720" s="15"/>
      <c r="Q720" s="15"/>
      <c r="R720" s="15"/>
      <c r="S720" s="15"/>
      <c r="T720" s="15"/>
      <c r="U720" s="15"/>
      <c r="V720" s="15"/>
      <c r="W720" s="60" t="s">
        <v>3765</v>
      </c>
    </row>
    <row r="721" spans="1:23" s="79" customFormat="1" ht="76.5" x14ac:dyDescent="0.2">
      <c r="A721" s="1" t="s">
        <v>3958</v>
      </c>
      <c r="B721" s="2" t="s">
        <v>3959</v>
      </c>
      <c r="C721" s="2" t="s">
        <v>3960</v>
      </c>
      <c r="D721" s="2" t="s">
        <v>74</v>
      </c>
      <c r="E721" s="2">
        <v>2022</v>
      </c>
      <c r="F721" s="2" t="s">
        <v>1796</v>
      </c>
      <c r="G721" s="2" t="s">
        <v>3095</v>
      </c>
      <c r="H721" s="2" t="s">
        <v>3092</v>
      </c>
      <c r="I721" s="1" t="s">
        <v>14</v>
      </c>
      <c r="J721" s="1" t="s">
        <v>3962</v>
      </c>
      <c r="K721" s="17"/>
      <c r="L721" s="54">
        <v>0.3125</v>
      </c>
      <c r="M721" s="39"/>
      <c r="N721" s="39"/>
      <c r="O721" s="39">
        <v>204.72</v>
      </c>
      <c r="P721" s="39"/>
      <c r="Q721" s="39"/>
      <c r="R721" s="39"/>
      <c r="S721" s="39"/>
      <c r="T721" s="39"/>
      <c r="U721" s="39"/>
      <c r="V721" s="39"/>
      <c r="W721" s="60"/>
    </row>
    <row r="722" spans="1:23" s="79" customFormat="1" ht="229.5" x14ac:dyDescent="0.2">
      <c r="A722" s="1" t="s">
        <v>3963</v>
      </c>
      <c r="B722" s="2" t="s">
        <v>383</v>
      </c>
      <c r="C722" s="2" t="s">
        <v>3964</v>
      </c>
      <c r="D722" s="2" t="s">
        <v>473</v>
      </c>
      <c r="E722" s="2">
        <v>2022</v>
      </c>
      <c r="F722" s="2" t="s">
        <v>1785</v>
      </c>
      <c r="G722" s="2" t="s">
        <v>3092</v>
      </c>
      <c r="H722" s="2" t="s">
        <v>3092</v>
      </c>
      <c r="I722" s="1" t="s">
        <v>3965</v>
      </c>
      <c r="J722" s="1" t="s">
        <v>3966</v>
      </c>
      <c r="K722" s="17"/>
      <c r="L722" s="54">
        <v>0.35</v>
      </c>
      <c r="M722" s="39"/>
      <c r="N722" s="39"/>
      <c r="O722" s="39">
        <f>(185.86/0.53)+(103.55/0.233)+(162.72/0.338)</f>
        <v>1276.5199644845832</v>
      </c>
      <c r="P722" s="39"/>
      <c r="Q722" s="39"/>
      <c r="R722" s="39"/>
      <c r="S722" s="39"/>
      <c r="T722" s="39"/>
      <c r="U722" s="39"/>
      <c r="V722" s="39"/>
      <c r="W722" s="60"/>
    </row>
    <row r="723" spans="1:23" s="79" customFormat="1" ht="165.75" x14ac:dyDescent="0.2">
      <c r="A723" s="1" t="s">
        <v>3967</v>
      </c>
      <c r="B723" s="2" t="s">
        <v>196</v>
      </c>
      <c r="C723" s="2" t="s">
        <v>3968</v>
      </c>
      <c r="D723" s="2" t="s">
        <v>85</v>
      </c>
      <c r="E723" s="2">
        <v>2022</v>
      </c>
      <c r="F723" s="2" t="s">
        <v>1785</v>
      </c>
      <c r="G723" s="2" t="s">
        <v>3092</v>
      </c>
      <c r="H723" s="2" t="s">
        <v>3092</v>
      </c>
      <c r="I723" s="1" t="s">
        <v>3969</v>
      </c>
      <c r="J723" s="1" t="s">
        <v>3970</v>
      </c>
      <c r="K723" s="17"/>
      <c r="L723" s="54">
        <v>0.33700000000000002</v>
      </c>
      <c r="M723" s="39"/>
      <c r="N723" s="39"/>
      <c r="O723" s="39">
        <f>(206.78/0.336)+(68.06/0.338)</f>
        <v>816.77761341222879</v>
      </c>
      <c r="P723" s="39"/>
      <c r="Q723" s="39"/>
      <c r="R723" s="39"/>
      <c r="S723" s="39"/>
      <c r="T723" s="39"/>
      <c r="U723" s="39"/>
      <c r="V723" s="39"/>
      <c r="W723" s="60"/>
    </row>
    <row r="724" spans="1:23" s="79" customFormat="1" ht="25.5" x14ac:dyDescent="0.2">
      <c r="A724" s="1" t="s">
        <v>298</v>
      </c>
      <c r="B724" s="2" t="s">
        <v>299</v>
      </c>
      <c r="C724" s="2" t="s">
        <v>300</v>
      </c>
      <c r="D724" s="2" t="s">
        <v>197</v>
      </c>
      <c r="E724" s="2">
        <v>2022</v>
      </c>
      <c r="F724" s="2" t="s">
        <v>1787</v>
      </c>
      <c r="G724" s="2" t="s">
        <v>3092</v>
      </c>
      <c r="H724" s="2" t="s">
        <v>3092</v>
      </c>
      <c r="I724" s="1" t="s">
        <v>3971</v>
      </c>
      <c r="J724" s="1" t="s">
        <v>3972</v>
      </c>
      <c r="K724" s="17"/>
      <c r="L724" s="54" t="s">
        <v>1670</v>
      </c>
      <c r="M724" s="39"/>
      <c r="N724" s="39"/>
      <c r="O724" s="39"/>
      <c r="P724" s="39"/>
      <c r="Q724" s="39"/>
      <c r="R724" s="39"/>
      <c r="S724" s="39">
        <f>3000*0.004546</f>
        <v>13.638</v>
      </c>
      <c r="T724" s="39"/>
      <c r="U724" s="39"/>
      <c r="V724" s="3"/>
      <c r="W724" s="60" t="s">
        <v>3973</v>
      </c>
    </row>
    <row r="725" spans="1:23" s="79" customFormat="1" ht="25.5" x14ac:dyDescent="0.2">
      <c r="A725" s="1" t="s">
        <v>298</v>
      </c>
      <c r="B725" s="2" t="s">
        <v>299</v>
      </c>
      <c r="C725" s="2" t="s">
        <v>300</v>
      </c>
      <c r="D725" s="2" t="s">
        <v>197</v>
      </c>
      <c r="E725" s="2">
        <v>2022</v>
      </c>
      <c r="F725" s="2" t="s">
        <v>1796</v>
      </c>
      <c r="G725" s="2" t="s">
        <v>3092</v>
      </c>
      <c r="H725" s="2" t="s">
        <v>3092</v>
      </c>
      <c r="I725" s="1" t="s">
        <v>3974</v>
      </c>
      <c r="J725" s="1" t="s">
        <v>3975</v>
      </c>
      <c r="K725" s="17"/>
      <c r="L725" s="54" t="s">
        <v>1670</v>
      </c>
      <c r="M725" s="39"/>
      <c r="N725" s="39"/>
      <c r="O725" s="39"/>
      <c r="P725" s="39"/>
      <c r="Q725" s="39"/>
      <c r="R725" s="39"/>
      <c r="S725" s="39">
        <f>3000*0.004546</f>
        <v>13.638</v>
      </c>
      <c r="T725" s="39"/>
      <c r="U725" s="39"/>
      <c r="V725" s="39"/>
      <c r="W725" s="60" t="s">
        <v>3973</v>
      </c>
    </row>
    <row r="726" spans="1:23" s="79" customFormat="1" ht="38.25" x14ac:dyDescent="0.2">
      <c r="A726" s="1" t="s">
        <v>78</v>
      </c>
      <c r="B726" s="2" t="s">
        <v>24</v>
      </c>
      <c r="C726" s="2" t="s">
        <v>79</v>
      </c>
      <c r="D726" s="2" t="s">
        <v>80</v>
      </c>
      <c r="E726" s="2">
        <v>2022</v>
      </c>
      <c r="F726" s="2" t="s">
        <v>1776</v>
      </c>
      <c r="G726" s="2" t="s">
        <v>3095</v>
      </c>
      <c r="H726" s="2" t="s">
        <v>3092</v>
      </c>
      <c r="I726" s="1" t="s">
        <v>14</v>
      </c>
      <c r="J726" s="1" t="s">
        <v>3976</v>
      </c>
      <c r="K726" s="17"/>
      <c r="L726" s="54">
        <v>0.222</v>
      </c>
      <c r="M726" s="39"/>
      <c r="N726" s="39"/>
      <c r="O726" s="39">
        <v>591.79</v>
      </c>
      <c r="P726" s="39"/>
      <c r="Q726" s="39"/>
      <c r="R726" s="39"/>
      <c r="S726" s="39"/>
      <c r="T726" s="39"/>
      <c r="U726" s="39"/>
      <c r="V726" s="39"/>
      <c r="W726" s="60" t="s">
        <v>1737</v>
      </c>
    </row>
    <row r="727" spans="1:23" s="79" customFormat="1" ht="63.75" x14ac:dyDescent="0.2">
      <c r="A727" s="1" t="s">
        <v>78</v>
      </c>
      <c r="B727" s="2" t="s">
        <v>24</v>
      </c>
      <c r="C727" s="2" t="s">
        <v>79</v>
      </c>
      <c r="D727" s="2" t="s">
        <v>80</v>
      </c>
      <c r="E727" s="2">
        <v>2022</v>
      </c>
      <c r="F727" s="2" t="s">
        <v>1779</v>
      </c>
      <c r="G727" s="2" t="s">
        <v>3095</v>
      </c>
      <c r="H727" s="2" t="s">
        <v>3092</v>
      </c>
      <c r="I727" s="1" t="s">
        <v>14</v>
      </c>
      <c r="J727" s="1" t="s">
        <v>3977</v>
      </c>
      <c r="K727" s="17"/>
      <c r="L727" s="54">
        <v>0.23100000000000001</v>
      </c>
      <c r="M727" s="39"/>
      <c r="N727" s="39"/>
      <c r="O727" s="39">
        <v>558.88</v>
      </c>
      <c r="P727" s="39"/>
      <c r="Q727" s="39"/>
      <c r="R727" s="39"/>
      <c r="S727" s="39"/>
      <c r="T727" s="39"/>
      <c r="U727" s="39"/>
      <c r="V727" s="39"/>
      <c r="W727" s="60" t="s">
        <v>1737</v>
      </c>
    </row>
    <row r="728" spans="1:23" s="79" customFormat="1" ht="25.5" x14ac:dyDescent="0.2">
      <c r="A728" s="1" t="s">
        <v>78</v>
      </c>
      <c r="B728" s="2" t="s">
        <v>24</v>
      </c>
      <c r="C728" s="2" t="s">
        <v>79</v>
      </c>
      <c r="D728" s="2" t="s">
        <v>80</v>
      </c>
      <c r="E728" s="2">
        <v>2022</v>
      </c>
      <c r="F728" s="2" t="s">
        <v>1781</v>
      </c>
      <c r="G728" s="2" t="s">
        <v>3095</v>
      </c>
      <c r="H728" s="2" t="s">
        <v>3092</v>
      </c>
      <c r="I728" s="1" t="s">
        <v>14</v>
      </c>
      <c r="J728" s="1" t="s">
        <v>3978</v>
      </c>
      <c r="K728" s="17"/>
      <c r="L728" s="54">
        <v>0.247</v>
      </c>
      <c r="M728" s="39"/>
      <c r="N728" s="39"/>
      <c r="O728" s="39">
        <v>607.1</v>
      </c>
      <c r="P728" s="39"/>
      <c r="Q728" s="39"/>
      <c r="R728" s="39"/>
      <c r="S728" s="39"/>
      <c r="T728" s="39"/>
      <c r="U728" s="39"/>
      <c r="V728" s="39"/>
      <c r="W728" s="60" t="s">
        <v>1737</v>
      </c>
    </row>
    <row r="729" spans="1:23" s="79" customFormat="1" ht="63.75" x14ac:dyDescent="0.2">
      <c r="A729" s="1" t="s">
        <v>78</v>
      </c>
      <c r="B729" s="2" t="s">
        <v>24</v>
      </c>
      <c r="C729" s="2" t="s">
        <v>79</v>
      </c>
      <c r="D729" s="2" t="s">
        <v>80</v>
      </c>
      <c r="E729" s="2">
        <v>2022</v>
      </c>
      <c r="F729" s="2" t="s">
        <v>1783</v>
      </c>
      <c r="G729" s="2" t="s">
        <v>3095</v>
      </c>
      <c r="H729" s="2" t="s">
        <v>3092</v>
      </c>
      <c r="I729" s="1" t="s">
        <v>14</v>
      </c>
      <c r="J729" s="1" t="s">
        <v>3979</v>
      </c>
      <c r="K729" s="17"/>
      <c r="L729" s="54">
        <v>0.253</v>
      </c>
      <c r="M729" s="39"/>
      <c r="N729" s="39"/>
      <c r="O729" s="39">
        <f>54.43+245.71+45.99+71.5</f>
        <v>417.63</v>
      </c>
      <c r="P729" s="39"/>
      <c r="Q729" s="39"/>
      <c r="R729" s="39"/>
      <c r="S729" s="39">
        <f>18.24+76.1</f>
        <v>94.339999999999989</v>
      </c>
      <c r="T729" s="39"/>
      <c r="U729" s="39"/>
      <c r="V729" s="39"/>
      <c r="W729" s="60" t="s">
        <v>1737</v>
      </c>
    </row>
    <row r="730" spans="1:23" s="79" customFormat="1" ht="51" x14ac:dyDescent="0.2">
      <c r="A730" s="1" t="s">
        <v>78</v>
      </c>
      <c r="B730" s="2" t="s">
        <v>24</v>
      </c>
      <c r="C730" s="2" t="s">
        <v>79</v>
      </c>
      <c r="D730" s="2" t="s">
        <v>80</v>
      </c>
      <c r="E730" s="2">
        <v>2022</v>
      </c>
      <c r="F730" s="2" t="s">
        <v>1785</v>
      </c>
      <c r="G730" s="2" t="s">
        <v>3095</v>
      </c>
      <c r="H730" s="2" t="s">
        <v>3092</v>
      </c>
      <c r="I730" s="1" t="s">
        <v>14</v>
      </c>
      <c r="J730" s="1" t="s">
        <v>3980</v>
      </c>
      <c r="K730" s="17"/>
      <c r="L730" s="54">
        <v>0.253</v>
      </c>
      <c r="M730" s="39"/>
      <c r="N730" s="39"/>
      <c r="O730" s="39">
        <v>641.4</v>
      </c>
      <c r="P730" s="39"/>
      <c r="Q730" s="39"/>
      <c r="R730" s="39"/>
      <c r="S730" s="39"/>
      <c r="T730" s="39"/>
      <c r="U730" s="39"/>
      <c r="V730" s="39"/>
      <c r="W730" s="60" t="s">
        <v>1737</v>
      </c>
    </row>
    <row r="731" spans="1:23" s="79" customFormat="1" ht="51" x14ac:dyDescent="0.2">
      <c r="A731" s="1" t="s">
        <v>78</v>
      </c>
      <c r="B731" s="2" t="s">
        <v>24</v>
      </c>
      <c r="C731" s="2" t="s">
        <v>79</v>
      </c>
      <c r="D731" s="2" t="s">
        <v>80</v>
      </c>
      <c r="E731" s="2">
        <v>2022</v>
      </c>
      <c r="F731" s="2" t="s">
        <v>1787</v>
      </c>
      <c r="G731" s="2" t="s">
        <v>3095</v>
      </c>
      <c r="H731" s="2" t="s">
        <v>3092</v>
      </c>
      <c r="I731" s="1" t="s">
        <v>14</v>
      </c>
      <c r="J731" s="1" t="s">
        <v>3981</v>
      </c>
      <c r="K731" s="17"/>
      <c r="L731" s="54">
        <v>0.26300000000000001</v>
      </c>
      <c r="M731" s="39"/>
      <c r="N731" s="39"/>
      <c r="O731" s="39">
        <v>590.59</v>
      </c>
      <c r="P731" s="39"/>
      <c r="Q731" s="39"/>
      <c r="R731" s="39"/>
      <c r="S731" s="39"/>
      <c r="T731" s="39"/>
      <c r="U731" s="39"/>
      <c r="V731" s="39"/>
      <c r="W731" s="60" t="s">
        <v>1737</v>
      </c>
    </row>
    <row r="732" spans="1:23" s="79" customFormat="1" ht="51" x14ac:dyDescent="0.2">
      <c r="A732" s="1" t="s">
        <v>78</v>
      </c>
      <c r="B732" s="2" t="s">
        <v>24</v>
      </c>
      <c r="C732" s="2" t="s">
        <v>79</v>
      </c>
      <c r="D732" s="2" t="s">
        <v>80</v>
      </c>
      <c r="E732" s="2">
        <v>2022</v>
      </c>
      <c r="F732" s="2" t="s">
        <v>1789</v>
      </c>
      <c r="G732" s="2" t="s">
        <v>3095</v>
      </c>
      <c r="H732" s="2" t="s">
        <v>3092</v>
      </c>
      <c r="I732" s="1" t="s">
        <v>14</v>
      </c>
      <c r="J732" s="1" t="s">
        <v>3982</v>
      </c>
      <c r="K732" s="17"/>
      <c r="L732" s="54">
        <v>0.248</v>
      </c>
      <c r="M732" s="39"/>
      <c r="N732" s="39"/>
      <c r="O732" s="39">
        <v>576.53</v>
      </c>
      <c r="P732" s="39"/>
      <c r="Q732" s="39"/>
      <c r="R732" s="39"/>
      <c r="S732" s="39"/>
      <c r="T732" s="39"/>
      <c r="U732" s="39"/>
      <c r="V732" s="39"/>
      <c r="W732" s="60" t="s">
        <v>1737</v>
      </c>
    </row>
    <row r="733" spans="1:23" s="79" customFormat="1" ht="38.25" x14ac:dyDescent="0.2">
      <c r="A733" s="1" t="s">
        <v>78</v>
      </c>
      <c r="B733" s="2" t="s">
        <v>24</v>
      </c>
      <c r="C733" s="2" t="s">
        <v>79</v>
      </c>
      <c r="D733" s="2" t="s">
        <v>80</v>
      </c>
      <c r="E733" s="2">
        <v>2022</v>
      </c>
      <c r="F733" s="2" t="s">
        <v>1791</v>
      </c>
      <c r="G733" s="2" t="s">
        <v>3095</v>
      </c>
      <c r="H733" s="2" t="s">
        <v>3092</v>
      </c>
      <c r="I733" s="1" t="s">
        <v>14</v>
      </c>
      <c r="J733" s="1" t="s">
        <v>3983</v>
      </c>
      <c r="K733" s="17"/>
      <c r="L733" s="54">
        <v>0.24299999999999999</v>
      </c>
      <c r="M733" s="39"/>
      <c r="N733" s="39"/>
      <c r="O733" s="39">
        <v>642.29</v>
      </c>
      <c r="P733" s="39"/>
      <c r="Q733" s="39"/>
      <c r="R733" s="39"/>
      <c r="S733" s="39"/>
      <c r="T733" s="39"/>
      <c r="U733" s="39"/>
      <c r="V733" s="39"/>
      <c r="W733" s="60"/>
    </row>
    <row r="734" spans="1:23" s="79" customFormat="1" ht="51" x14ac:dyDescent="0.2">
      <c r="A734" s="1" t="s">
        <v>78</v>
      </c>
      <c r="B734" s="2" t="s">
        <v>24</v>
      </c>
      <c r="C734" s="2" t="s">
        <v>79</v>
      </c>
      <c r="D734" s="2" t="s">
        <v>80</v>
      </c>
      <c r="E734" s="2">
        <v>2022</v>
      </c>
      <c r="F734" s="2" t="s">
        <v>311</v>
      </c>
      <c r="G734" s="2" t="s">
        <v>3095</v>
      </c>
      <c r="H734" s="2" t="s">
        <v>3092</v>
      </c>
      <c r="I734" s="1" t="s">
        <v>14</v>
      </c>
      <c r="J734" s="1" t="s">
        <v>3984</v>
      </c>
      <c r="K734" s="17"/>
      <c r="L734" s="54">
        <v>0.24199999999999999</v>
      </c>
      <c r="M734" s="39"/>
      <c r="N734" s="39"/>
      <c r="O734" s="39">
        <v>587.82000000000005</v>
      </c>
      <c r="P734" s="39"/>
      <c r="Q734" s="39"/>
      <c r="R734" s="39"/>
      <c r="S734" s="39"/>
      <c r="T734" s="39"/>
      <c r="U734" s="39"/>
      <c r="V734" s="39"/>
      <c r="W734" s="60" t="s">
        <v>1737</v>
      </c>
    </row>
    <row r="735" spans="1:23" s="79" customFormat="1" ht="63.75" x14ac:dyDescent="0.2">
      <c r="A735" s="1" t="s">
        <v>78</v>
      </c>
      <c r="B735" s="2" t="s">
        <v>24</v>
      </c>
      <c r="C735" s="2" t="s">
        <v>79</v>
      </c>
      <c r="D735" s="2" t="s">
        <v>80</v>
      </c>
      <c r="E735" s="2">
        <v>2022</v>
      </c>
      <c r="F735" s="2" t="s">
        <v>1794</v>
      </c>
      <c r="G735" s="2" t="s">
        <v>3095</v>
      </c>
      <c r="H735" s="2" t="s">
        <v>3092</v>
      </c>
      <c r="I735" s="1" t="s">
        <v>14</v>
      </c>
      <c r="J735" s="1" t="s">
        <v>3985</v>
      </c>
      <c r="K735" s="17"/>
      <c r="L735" s="54">
        <v>0.23899999999999999</v>
      </c>
      <c r="M735" s="39"/>
      <c r="N735" s="39"/>
      <c r="O735" s="39">
        <v>580.25</v>
      </c>
      <c r="P735" s="39"/>
      <c r="Q735" s="39"/>
      <c r="R735" s="39"/>
      <c r="S735" s="39"/>
      <c r="T735" s="39"/>
      <c r="U735" s="39"/>
      <c r="V735" s="39"/>
      <c r="W735" s="60" t="s">
        <v>1737</v>
      </c>
    </row>
    <row r="736" spans="1:23" s="79" customFormat="1" ht="51" x14ac:dyDescent="0.2">
      <c r="A736" s="1" t="s">
        <v>78</v>
      </c>
      <c r="B736" s="2" t="s">
        <v>24</v>
      </c>
      <c r="C736" s="2" t="s">
        <v>79</v>
      </c>
      <c r="D736" s="2" t="s">
        <v>80</v>
      </c>
      <c r="E736" s="2">
        <v>2022</v>
      </c>
      <c r="F736" s="2" t="s">
        <v>1796</v>
      </c>
      <c r="G736" s="2" t="s">
        <v>3095</v>
      </c>
      <c r="H736" s="2" t="s">
        <v>3092</v>
      </c>
      <c r="I736" s="1" t="s">
        <v>14</v>
      </c>
      <c r="J736" s="1" t="s">
        <v>3986</v>
      </c>
      <c r="K736" s="17"/>
      <c r="L736" s="54">
        <v>0.23899999999999999</v>
      </c>
      <c r="M736" s="39"/>
      <c r="N736" s="39"/>
      <c r="O736" s="39">
        <v>659.96</v>
      </c>
      <c r="P736" s="39"/>
      <c r="Q736" s="39"/>
      <c r="R736" s="39"/>
      <c r="S736" s="39"/>
      <c r="T736" s="39"/>
      <c r="U736" s="39"/>
      <c r="V736" s="39"/>
      <c r="W736" s="60" t="s">
        <v>1737</v>
      </c>
    </row>
    <row r="737" spans="1:23" s="79" customFormat="1" ht="38.25" x14ac:dyDescent="0.2">
      <c r="A737" s="1" t="s">
        <v>78</v>
      </c>
      <c r="B737" s="2" t="s">
        <v>24</v>
      </c>
      <c r="C737" s="2" t="s">
        <v>79</v>
      </c>
      <c r="D737" s="2" t="s">
        <v>80</v>
      </c>
      <c r="E737" s="2">
        <v>2022</v>
      </c>
      <c r="F737" s="2" t="s">
        <v>1798</v>
      </c>
      <c r="G737" s="2" t="s">
        <v>3095</v>
      </c>
      <c r="H737" s="2" t="s">
        <v>3092</v>
      </c>
      <c r="I737" s="1" t="s">
        <v>14</v>
      </c>
      <c r="J737" s="1" t="s">
        <v>3987</v>
      </c>
      <c r="K737" s="17"/>
      <c r="L737" s="54">
        <v>0.24199999999999999</v>
      </c>
      <c r="M737" s="39"/>
      <c r="N737" s="39"/>
      <c r="O737" s="39">
        <v>506.55</v>
      </c>
      <c r="P737" s="39"/>
      <c r="Q737" s="39"/>
      <c r="R737" s="39"/>
      <c r="S737" s="39"/>
      <c r="T737" s="39"/>
      <c r="U737" s="39"/>
      <c r="V737" s="39"/>
      <c r="W737" s="60" t="s">
        <v>1737</v>
      </c>
    </row>
    <row r="738" spans="1:23" s="79" customFormat="1" ht="153" x14ac:dyDescent="0.2">
      <c r="A738" s="1" t="s">
        <v>375</v>
      </c>
      <c r="B738" s="2" t="s">
        <v>318</v>
      </c>
      <c r="C738" s="2" t="s">
        <v>376</v>
      </c>
      <c r="D738" s="2" t="s">
        <v>377</v>
      </c>
      <c r="E738" s="2">
        <v>2022</v>
      </c>
      <c r="F738" s="2" t="s">
        <v>1794</v>
      </c>
      <c r="G738" s="2" t="s">
        <v>3092</v>
      </c>
      <c r="H738" s="2" t="s">
        <v>3092</v>
      </c>
      <c r="I738" s="1" t="s">
        <v>3988</v>
      </c>
      <c r="J738" s="1" t="s">
        <v>3989</v>
      </c>
      <c r="K738" s="17"/>
      <c r="L738" s="54"/>
      <c r="M738" s="39"/>
      <c r="N738" s="39"/>
      <c r="O738" s="39"/>
      <c r="P738" s="39"/>
      <c r="Q738" s="39"/>
      <c r="R738" s="39"/>
      <c r="S738" s="39"/>
      <c r="T738" s="39"/>
      <c r="U738" s="39"/>
      <c r="V738" s="39"/>
      <c r="W738" s="60" t="s">
        <v>3990</v>
      </c>
    </row>
    <row r="739" spans="1:23" s="79" customFormat="1" ht="38.25" x14ac:dyDescent="0.2">
      <c r="A739" s="1" t="s">
        <v>209</v>
      </c>
      <c r="B739" s="2" t="s">
        <v>10</v>
      </c>
      <c r="C739" s="2" t="s">
        <v>210</v>
      </c>
      <c r="D739" s="2" t="s">
        <v>12</v>
      </c>
      <c r="E739" s="2">
        <v>2022</v>
      </c>
      <c r="F739" s="2" t="s">
        <v>1776</v>
      </c>
      <c r="G739" s="2" t="s">
        <v>3095</v>
      </c>
      <c r="H739" s="2" t="s">
        <v>3092</v>
      </c>
      <c r="I739" s="1" t="s">
        <v>14</v>
      </c>
      <c r="J739" s="1" t="s">
        <v>3991</v>
      </c>
      <c r="K739" s="17"/>
      <c r="L739" s="54"/>
      <c r="M739" s="39"/>
      <c r="N739" s="39"/>
      <c r="O739" s="39"/>
      <c r="P739" s="39"/>
      <c r="Q739" s="39"/>
      <c r="R739" s="39"/>
      <c r="S739" s="39"/>
      <c r="T739" s="39"/>
      <c r="U739" s="39"/>
      <c r="V739" s="39"/>
      <c r="W739" s="60" t="s">
        <v>1735</v>
      </c>
    </row>
    <row r="740" spans="1:23" s="79" customFormat="1" ht="51" x14ac:dyDescent="0.2">
      <c r="A740" s="1" t="s">
        <v>209</v>
      </c>
      <c r="B740" s="2" t="s">
        <v>10</v>
      </c>
      <c r="C740" s="2" t="s">
        <v>210</v>
      </c>
      <c r="D740" s="2" t="s">
        <v>12</v>
      </c>
      <c r="E740" s="2">
        <v>2022</v>
      </c>
      <c r="F740" s="2" t="s">
        <v>1779</v>
      </c>
      <c r="G740" s="2" t="s">
        <v>3095</v>
      </c>
      <c r="H740" s="2" t="s">
        <v>3092</v>
      </c>
      <c r="I740" s="1" t="s">
        <v>14</v>
      </c>
      <c r="J740" s="1" t="s">
        <v>3992</v>
      </c>
      <c r="K740" s="17"/>
      <c r="L740" s="54"/>
      <c r="M740" s="39"/>
      <c r="N740" s="39"/>
      <c r="O740" s="39"/>
      <c r="P740" s="39"/>
      <c r="Q740" s="39"/>
      <c r="R740" s="39"/>
      <c r="S740" s="39"/>
      <c r="T740" s="39"/>
      <c r="U740" s="39"/>
      <c r="V740" s="39"/>
      <c r="W740" s="60" t="s">
        <v>1735</v>
      </c>
    </row>
    <row r="741" spans="1:23" s="79" customFormat="1" ht="38.25" x14ac:dyDescent="0.2">
      <c r="A741" s="1" t="s">
        <v>209</v>
      </c>
      <c r="B741" s="2" t="s">
        <v>10</v>
      </c>
      <c r="C741" s="2" t="s">
        <v>210</v>
      </c>
      <c r="D741" s="2" t="s">
        <v>12</v>
      </c>
      <c r="E741" s="2">
        <v>2022</v>
      </c>
      <c r="F741" s="2" t="s">
        <v>1783</v>
      </c>
      <c r="G741" s="2" t="s">
        <v>3095</v>
      </c>
      <c r="H741" s="2" t="s">
        <v>3092</v>
      </c>
      <c r="I741" s="1" t="s">
        <v>14</v>
      </c>
      <c r="J741" s="1" t="s">
        <v>3993</v>
      </c>
      <c r="K741" s="17"/>
      <c r="L741" s="54"/>
      <c r="M741" s="39"/>
      <c r="N741" s="39"/>
      <c r="O741" s="39"/>
      <c r="P741" s="39"/>
      <c r="Q741" s="39"/>
      <c r="R741" s="39"/>
      <c r="S741" s="39"/>
      <c r="T741" s="39"/>
      <c r="U741" s="39"/>
      <c r="V741" s="39"/>
      <c r="W741" s="60" t="s">
        <v>1735</v>
      </c>
    </row>
    <row r="742" spans="1:23" s="79" customFormat="1" ht="51" x14ac:dyDescent="0.2">
      <c r="A742" s="1" t="s">
        <v>209</v>
      </c>
      <c r="B742" s="2" t="s">
        <v>10</v>
      </c>
      <c r="C742" s="2" t="s">
        <v>210</v>
      </c>
      <c r="D742" s="2" t="s">
        <v>12</v>
      </c>
      <c r="E742" s="2">
        <v>2022</v>
      </c>
      <c r="F742" s="2" t="s">
        <v>1785</v>
      </c>
      <c r="G742" s="2" t="s">
        <v>3095</v>
      </c>
      <c r="H742" s="2" t="s">
        <v>3092</v>
      </c>
      <c r="I742" s="1" t="s">
        <v>14</v>
      </c>
      <c r="J742" s="1" t="s">
        <v>3994</v>
      </c>
      <c r="K742" s="17"/>
      <c r="L742" s="54"/>
      <c r="M742" s="39"/>
      <c r="N742" s="39"/>
      <c r="O742" s="39"/>
      <c r="P742" s="39"/>
      <c r="Q742" s="39"/>
      <c r="R742" s="39"/>
      <c r="S742" s="39"/>
      <c r="T742" s="39"/>
      <c r="U742" s="39"/>
      <c r="V742" s="39"/>
      <c r="W742" s="60" t="s">
        <v>1735</v>
      </c>
    </row>
    <row r="743" spans="1:23" s="79" customFormat="1" ht="51" x14ac:dyDescent="0.2">
      <c r="A743" s="1" t="s">
        <v>209</v>
      </c>
      <c r="B743" s="2" t="s">
        <v>10</v>
      </c>
      <c r="C743" s="2" t="s">
        <v>210</v>
      </c>
      <c r="D743" s="2" t="s">
        <v>12</v>
      </c>
      <c r="E743" s="2">
        <v>2022</v>
      </c>
      <c r="F743" s="2" t="s">
        <v>1789</v>
      </c>
      <c r="G743" s="2" t="s">
        <v>3095</v>
      </c>
      <c r="H743" s="2" t="s">
        <v>3092</v>
      </c>
      <c r="I743" s="1" t="s">
        <v>14</v>
      </c>
      <c r="J743" s="1" t="s">
        <v>3995</v>
      </c>
      <c r="K743" s="17"/>
      <c r="L743" s="54"/>
      <c r="M743" s="39"/>
      <c r="N743" s="39"/>
      <c r="O743" s="39"/>
      <c r="P743" s="39"/>
      <c r="Q743" s="39"/>
      <c r="R743" s="39"/>
      <c r="S743" s="39"/>
      <c r="T743" s="39"/>
      <c r="U743" s="39"/>
      <c r="V743" s="39"/>
      <c r="W743" s="60" t="s">
        <v>1735</v>
      </c>
    </row>
    <row r="744" spans="1:23" s="79" customFormat="1" ht="51" x14ac:dyDescent="0.2">
      <c r="A744" s="1" t="s">
        <v>209</v>
      </c>
      <c r="B744" s="2" t="s">
        <v>10</v>
      </c>
      <c r="C744" s="2" t="s">
        <v>210</v>
      </c>
      <c r="D744" s="2" t="s">
        <v>12</v>
      </c>
      <c r="E744" s="2">
        <v>2022</v>
      </c>
      <c r="F744" s="2" t="s">
        <v>311</v>
      </c>
      <c r="G744" s="2" t="s">
        <v>3095</v>
      </c>
      <c r="H744" s="2" t="s">
        <v>3092</v>
      </c>
      <c r="I744" s="1" t="s">
        <v>14</v>
      </c>
      <c r="J744" s="1" t="s">
        <v>3996</v>
      </c>
      <c r="K744" s="17"/>
      <c r="L744" s="54"/>
      <c r="M744" s="39"/>
      <c r="N744" s="39"/>
      <c r="O744" s="39"/>
      <c r="P744" s="39"/>
      <c r="Q744" s="39"/>
      <c r="R744" s="39"/>
      <c r="S744" s="39"/>
      <c r="T744" s="39"/>
      <c r="U744" s="39"/>
      <c r="V744" s="39"/>
      <c r="W744" s="60" t="s">
        <v>1735</v>
      </c>
    </row>
    <row r="745" spans="1:23" s="79" customFormat="1" ht="51" x14ac:dyDescent="0.2">
      <c r="A745" s="1" t="s">
        <v>209</v>
      </c>
      <c r="B745" s="2" t="s">
        <v>10</v>
      </c>
      <c r="C745" s="2" t="s">
        <v>210</v>
      </c>
      <c r="D745" s="2" t="s">
        <v>12</v>
      </c>
      <c r="E745" s="2">
        <v>2022</v>
      </c>
      <c r="F745" s="2" t="s">
        <v>1796</v>
      </c>
      <c r="G745" s="2" t="s">
        <v>3095</v>
      </c>
      <c r="H745" s="2" t="s">
        <v>3092</v>
      </c>
      <c r="I745" s="1" t="s">
        <v>14</v>
      </c>
      <c r="J745" s="1" t="s">
        <v>3997</v>
      </c>
      <c r="K745" s="17"/>
      <c r="L745" s="54"/>
      <c r="M745" s="39"/>
      <c r="N745" s="39"/>
      <c r="O745" s="39"/>
      <c r="P745" s="39"/>
      <c r="Q745" s="39"/>
      <c r="R745" s="39"/>
      <c r="S745" s="39"/>
      <c r="T745" s="39"/>
      <c r="U745" s="39"/>
      <c r="V745" s="39"/>
      <c r="W745" s="60" t="s">
        <v>1735</v>
      </c>
    </row>
    <row r="746" spans="1:23" s="79" customFormat="1" ht="25.5" x14ac:dyDescent="0.2">
      <c r="A746" s="1" t="s">
        <v>156</v>
      </c>
      <c r="B746" s="2" t="s">
        <v>48</v>
      </c>
      <c r="C746" s="2" t="s">
        <v>157</v>
      </c>
      <c r="D746" s="2" t="s">
        <v>158</v>
      </c>
      <c r="E746" s="2">
        <v>2022</v>
      </c>
      <c r="F746" s="2" t="s">
        <v>1776</v>
      </c>
      <c r="G746" s="2" t="s">
        <v>3095</v>
      </c>
      <c r="H746" s="2" t="s">
        <v>3092</v>
      </c>
      <c r="I746" s="1" t="s">
        <v>14</v>
      </c>
      <c r="J746" s="1" t="s">
        <v>3998</v>
      </c>
      <c r="K746" s="17"/>
      <c r="L746" s="54">
        <v>0.13300000000000001</v>
      </c>
      <c r="M746" s="39"/>
      <c r="N746" s="39"/>
      <c r="O746" s="39"/>
      <c r="P746" s="39"/>
      <c r="Q746" s="39"/>
      <c r="R746" s="39"/>
      <c r="S746" s="39">
        <v>28.94</v>
      </c>
      <c r="T746" s="39"/>
      <c r="U746" s="39"/>
      <c r="V746" s="39"/>
      <c r="W746" s="60" t="s">
        <v>1737</v>
      </c>
    </row>
    <row r="747" spans="1:23" s="79" customFormat="1" ht="25.5" x14ac:dyDescent="0.2">
      <c r="A747" s="1" t="s">
        <v>156</v>
      </c>
      <c r="B747" s="2" t="s">
        <v>48</v>
      </c>
      <c r="C747" s="2" t="s">
        <v>157</v>
      </c>
      <c r="D747" s="2" t="s">
        <v>158</v>
      </c>
      <c r="E747" s="2">
        <v>2022</v>
      </c>
      <c r="F747" s="2" t="s">
        <v>1779</v>
      </c>
      <c r="G747" s="2" t="s">
        <v>3095</v>
      </c>
      <c r="H747" s="2" t="s">
        <v>3092</v>
      </c>
      <c r="I747" s="1" t="s">
        <v>14</v>
      </c>
      <c r="J747" s="1" t="s">
        <v>3999</v>
      </c>
      <c r="K747" s="17"/>
      <c r="L747" s="54">
        <v>0.13300000000000001</v>
      </c>
      <c r="M747" s="39"/>
      <c r="N747" s="39"/>
      <c r="O747" s="39"/>
      <c r="P747" s="39"/>
      <c r="Q747" s="39"/>
      <c r="R747" s="39"/>
      <c r="S747" s="39">
        <v>47.1</v>
      </c>
      <c r="T747" s="39"/>
      <c r="U747" s="39"/>
      <c r="V747" s="39"/>
      <c r="W747" s="60" t="s">
        <v>1737</v>
      </c>
    </row>
    <row r="748" spans="1:23" s="79" customFormat="1" ht="25.5" x14ac:dyDescent="0.2">
      <c r="A748" s="1" t="s">
        <v>156</v>
      </c>
      <c r="B748" s="2" t="s">
        <v>48</v>
      </c>
      <c r="C748" s="2" t="s">
        <v>157</v>
      </c>
      <c r="D748" s="2" t="s">
        <v>158</v>
      </c>
      <c r="E748" s="2">
        <v>2022</v>
      </c>
      <c r="F748" s="2" t="s">
        <v>1781</v>
      </c>
      <c r="G748" s="2" t="s">
        <v>3095</v>
      </c>
      <c r="H748" s="2" t="s">
        <v>3092</v>
      </c>
      <c r="I748" s="1" t="s">
        <v>14</v>
      </c>
      <c r="J748" s="1" t="s">
        <v>4000</v>
      </c>
      <c r="K748" s="17"/>
      <c r="L748" s="54">
        <v>0.13300000000000001</v>
      </c>
      <c r="M748" s="39"/>
      <c r="N748" s="39"/>
      <c r="O748" s="39"/>
      <c r="P748" s="39"/>
      <c r="Q748" s="39"/>
      <c r="R748" s="39"/>
      <c r="S748" s="39">
        <v>39.729999999999997</v>
      </c>
      <c r="T748" s="39"/>
      <c r="U748" s="39"/>
      <c r="V748" s="39"/>
      <c r="W748" s="60" t="s">
        <v>1737</v>
      </c>
    </row>
    <row r="749" spans="1:23" s="79" customFormat="1" ht="25.5" x14ac:dyDescent="0.2">
      <c r="A749" s="1" t="s">
        <v>156</v>
      </c>
      <c r="B749" s="2" t="s">
        <v>48</v>
      </c>
      <c r="C749" s="2" t="s">
        <v>157</v>
      </c>
      <c r="D749" s="2" t="s">
        <v>158</v>
      </c>
      <c r="E749" s="2">
        <v>2022</v>
      </c>
      <c r="F749" s="2" t="s">
        <v>1783</v>
      </c>
      <c r="G749" s="2" t="s">
        <v>3095</v>
      </c>
      <c r="H749" s="2" t="s">
        <v>3092</v>
      </c>
      <c r="I749" s="1" t="s">
        <v>14</v>
      </c>
      <c r="J749" s="1" t="s">
        <v>4001</v>
      </c>
      <c r="K749" s="17"/>
      <c r="L749" s="54">
        <v>0.13300000000000001</v>
      </c>
      <c r="M749" s="39"/>
      <c r="N749" s="39"/>
      <c r="O749" s="39"/>
      <c r="P749" s="39"/>
      <c r="Q749" s="39"/>
      <c r="R749" s="39"/>
      <c r="S749" s="39">
        <v>23.24</v>
      </c>
      <c r="T749" s="39"/>
      <c r="U749" s="39"/>
      <c r="V749" s="39"/>
      <c r="W749" s="60" t="s">
        <v>1737</v>
      </c>
    </row>
    <row r="750" spans="1:23" s="79" customFormat="1" ht="25.5" x14ac:dyDescent="0.2">
      <c r="A750" s="1" t="s">
        <v>156</v>
      </c>
      <c r="B750" s="2" t="s">
        <v>48</v>
      </c>
      <c r="C750" s="2" t="s">
        <v>157</v>
      </c>
      <c r="D750" s="2" t="s">
        <v>158</v>
      </c>
      <c r="E750" s="2">
        <v>2022</v>
      </c>
      <c r="F750" s="2" t="s">
        <v>1785</v>
      </c>
      <c r="G750" s="2" t="s">
        <v>3095</v>
      </c>
      <c r="H750" s="2" t="s">
        <v>3092</v>
      </c>
      <c r="I750" s="1" t="s">
        <v>14</v>
      </c>
      <c r="J750" s="1" t="s">
        <v>4002</v>
      </c>
      <c r="K750" s="17"/>
      <c r="L750" s="54">
        <v>0.13300000000000001</v>
      </c>
      <c r="M750" s="39"/>
      <c r="N750" s="39"/>
      <c r="O750" s="39"/>
      <c r="P750" s="39"/>
      <c r="Q750" s="39"/>
      <c r="R750" s="39"/>
      <c r="S750" s="39">
        <v>45.79</v>
      </c>
      <c r="T750" s="39"/>
      <c r="U750" s="39"/>
      <c r="V750" s="39"/>
      <c r="W750" s="60" t="s">
        <v>1737</v>
      </c>
    </row>
    <row r="751" spans="1:23" s="79" customFormat="1" ht="25.5" x14ac:dyDescent="0.2">
      <c r="A751" s="1" t="s">
        <v>156</v>
      </c>
      <c r="B751" s="2" t="s">
        <v>48</v>
      </c>
      <c r="C751" s="2" t="s">
        <v>157</v>
      </c>
      <c r="D751" s="2" t="s">
        <v>158</v>
      </c>
      <c r="E751" s="2">
        <v>2022</v>
      </c>
      <c r="F751" s="2" t="s">
        <v>1787</v>
      </c>
      <c r="G751" s="2" t="s">
        <v>3095</v>
      </c>
      <c r="H751" s="2" t="s">
        <v>3092</v>
      </c>
      <c r="I751" s="1" t="s">
        <v>14</v>
      </c>
      <c r="J751" s="1" t="s">
        <v>4003</v>
      </c>
      <c r="K751" s="17"/>
      <c r="L751" s="54">
        <v>0.13300000000000001</v>
      </c>
      <c r="M751" s="39"/>
      <c r="N751" s="39"/>
      <c r="O751" s="39"/>
      <c r="P751" s="39"/>
      <c r="Q751" s="39"/>
      <c r="R751" s="39"/>
      <c r="S751" s="39">
        <v>49.66</v>
      </c>
      <c r="T751" s="39"/>
      <c r="U751" s="39"/>
      <c r="V751" s="39"/>
      <c r="W751" s="60" t="s">
        <v>1737</v>
      </c>
    </row>
    <row r="752" spans="1:23" s="79" customFormat="1" ht="25.5" x14ac:dyDescent="0.2">
      <c r="A752" s="1" t="s">
        <v>156</v>
      </c>
      <c r="B752" s="2" t="s">
        <v>48</v>
      </c>
      <c r="C752" s="2" t="s">
        <v>157</v>
      </c>
      <c r="D752" s="2" t="s">
        <v>158</v>
      </c>
      <c r="E752" s="2">
        <v>2022</v>
      </c>
      <c r="F752" s="2" t="s">
        <v>1789</v>
      </c>
      <c r="G752" s="2" t="s">
        <v>3095</v>
      </c>
      <c r="H752" s="2" t="s">
        <v>3092</v>
      </c>
      <c r="I752" s="1" t="s">
        <v>14</v>
      </c>
      <c r="J752" s="1" t="s">
        <v>4004</v>
      </c>
      <c r="K752" s="17"/>
      <c r="L752" s="54">
        <v>0.13300000000000001</v>
      </c>
      <c r="M752" s="39"/>
      <c r="N752" s="39"/>
      <c r="O752" s="39"/>
      <c r="P752" s="39"/>
      <c r="Q752" s="39"/>
      <c r="R752" s="39"/>
      <c r="S752" s="39">
        <v>39.340000000000003</v>
      </c>
      <c r="T752" s="39"/>
      <c r="U752" s="39"/>
      <c r="V752" s="39"/>
      <c r="W752" s="60" t="s">
        <v>1737</v>
      </c>
    </row>
    <row r="753" spans="1:23" s="79" customFormat="1" ht="25.5" x14ac:dyDescent="0.2">
      <c r="A753" s="1" t="s">
        <v>156</v>
      </c>
      <c r="B753" s="2" t="s">
        <v>48</v>
      </c>
      <c r="C753" s="2" t="s">
        <v>157</v>
      </c>
      <c r="D753" s="2" t="s">
        <v>158</v>
      </c>
      <c r="E753" s="2">
        <v>2022</v>
      </c>
      <c r="F753" s="2" t="s">
        <v>1791</v>
      </c>
      <c r="G753" s="2" t="s">
        <v>3095</v>
      </c>
      <c r="H753" s="2" t="s">
        <v>3092</v>
      </c>
      <c r="I753" s="1" t="s">
        <v>14</v>
      </c>
      <c r="J753" s="1" t="s">
        <v>4005</v>
      </c>
      <c r="K753" s="17"/>
      <c r="L753" s="54">
        <v>0.13300000000000001</v>
      </c>
      <c r="M753" s="39"/>
      <c r="N753" s="39"/>
      <c r="O753" s="39"/>
      <c r="P753" s="39"/>
      <c r="Q753" s="39"/>
      <c r="R753" s="39"/>
      <c r="S753" s="39">
        <v>45.79</v>
      </c>
      <c r="T753" s="39"/>
      <c r="U753" s="39"/>
      <c r="V753" s="39"/>
      <c r="W753" s="60" t="s">
        <v>1737</v>
      </c>
    </row>
    <row r="754" spans="1:23" s="79" customFormat="1" ht="25.5" x14ac:dyDescent="0.2">
      <c r="A754" s="1" t="s">
        <v>156</v>
      </c>
      <c r="B754" s="2" t="s">
        <v>48</v>
      </c>
      <c r="C754" s="2" t="s">
        <v>157</v>
      </c>
      <c r="D754" s="2" t="s">
        <v>158</v>
      </c>
      <c r="E754" s="2">
        <v>2022</v>
      </c>
      <c r="F754" s="2" t="s">
        <v>311</v>
      </c>
      <c r="G754" s="2" t="s">
        <v>3095</v>
      </c>
      <c r="H754" s="2" t="s">
        <v>3092</v>
      </c>
      <c r="I754" s="1" t="s">
        <v>14</v>
      </c>
      <c r="J754" s="1" t="s">
        <v>4006</v>
      </c>
      <c r="K754" s="17"/>
      <c r="L754" s="54">
        <v>0.13100000000000001</v>
      </c>
      <c r="M754" s="39"/>
      <c r="N754" s="39"/>
      <c r="O754" s="39"/>
      <c r="P754" s="39"/>
      <c r="Q754" s="39"/>
      <c r="R754" s="39"/>
      <c r="S754" s="39">
        <v>49.96</v>
      </c>
      <c r="T754" s="39"/>
      <c r="U754" s="39"/>
      <c r="V754" s="39"/>
      <c r="W754" s="60" t="s">
        <v>1737</v>
      </c>
    </row>
    <row r="755" spans="1:23" s="79" customFormat="1" ht="25.5" x14ac:dyDescent="0.2">
      <c r="A755" s="1" t="s">
        <v>156</v>
      </c>
      <c r="B755" s="2" t="s">
        <v>48</v>
      </c>
      <c r="C755" s="2" t="s">
        <v>157</v>
      </c>
      <c r="D755" s="2" t="s">
        <v>158</v>
      </c>
      <c r="E755" s="2">
        <v>2022</v>
      </c>
      <c r="F755" s="2" t="s">
        <v>1794</v>
      </c>
      <c r="G755" s="2" t="s">
        <v>3095</v>
      </c>
      <c r="H755" s="2" t="s">
        <v>3092</v>
      </c>
      <c r="I755" s="1" t="s">
        <v>14</v>
      </c>
      <c r="J755" s="1" t="s">
        <v>4007</v>
      </c>
      <c r="K755" s="17"/>
      <c r="L755" s="54">
        <v>0.13300000000000001</v>
      </c>
      <c r="M755" s="39"/>
      <c r="N755" s="39"/>
      <c r="O755" s="39"/>
      <c r="P755" s="39"/>
      <c r="Q755" s="39"/>
      <c r="R755" s="39"/>
      <c r="S755" s="39">
        <v>29.92</v>
      </c>
      <c r="T755" s="39"/>
      <c r="U755" s="39"/>
      <c r="V755" s="39"/>
      <c r="W755" s="60" t="s">
        <v>1737</v>
      </c>
    </row>
    <row r="756" spans="1:23" s="79" customFormat="1" ht="25.5" x14ac:dyDescent="0.2">
      <c r="A756" s="1" t="s">
        <v>156</v>
      </c>
      <c r="B756" s="2" t="s">
        <v>48</v>
      </c>
      <c r="C756" s="2" t="s">
        <v>157</v>
      </c>
      <c r="D756" s="2" t="s">
        <v>158</v>
      </c>
      <c r="E756" s="2">
        <v>2022</v>
      </c>
      <c r="F756" s="2" t="s">
        <v>1796</v>
      </c>
      <c r="G756" s="2" t="s">
        <v>3095</v>
      </c>
      <c r="H756" s="2" t="s">
        <v>3092</v>
      </c>
      <c r="I756" s="1" t="s">
        <v>14</v>
      </c>
      <c r="J756" s="1" t="s">
        <v>4008</v>
      </c>
      <c r="K756" s="17"/>
      <c r="L756" s="54">
        <v>0.155</v>
      </c>
      <c r="M756" s="39"/>
      <c r="N756" s="39"/>
      <c r="O756" s="39"/>
      <c r="P756" s="39"/>
      <c r="Q756" s="39"/>
      <c r="R756" s="39"/>
      <c r="S756" s="39">
        <v>24.9</v>
      </c>
      <c r="T756" s="39"/>
      <c r="U756" s="39"/>
      <c r="V756" s="39"/>
      <c r="W756" s="60" t="s">
        <v>1737</v>
      </c>
    </row>
    <row r="757" spans="1:23" s="79" customFormat="1" ht="25.5" x14ac:dyDescent="0.2">
      <c r="A757" s="1" t="s">
        <v>156</v>
      </c>
      <c r="B757" s="2" t="s">
        <v>48</v>
      </c>
      <c r="C757" s="2" t="s">
        <v>157</v>
      </c>
      <c r="D757" s="2" t="s">
        <v>158</v>
      </c>
      <c r="E757" s="2">
        <v>2022</v>
      </c>
      <c r="F757" s="2" t="s">
        <v>1798</v>
      </c>
      <c r="G757" s="2" t="s">
        <v>3095</v>
      </c>
      <c r="H757" s="2" t="s">
        <v>3092</v>
      </c>
      <c r="I757" s="1" t="s">
        <v>14</v>
      </c>
      <c r="J757" s="1" t="s">
        <v>4009</v>
      </c>
      <c r="K757" s="17"/>
      <c r="L757" s="54">
        <v>0.155</v>
      </c>
      <c r="M757" s="39"/>
      <c r="N757" s="39"/>
      <c r="O757" s="39"/>
      <c r="P757" s="39"/>
      <c r="Q757" s="39"/>
      <c r="R757" s="39"/>
      <c r="S757" s="39">
        <v>35</v>
      </c>
      <c r="T757" s="39"/>
      <c r="U757" s="39"/>
      <c r="V757" s="39"/>
      <c r="W757" s="60" t="s">
        <v>1737</v>
      </c>
    </row>
    <row r="758" spans="1:23" s="79" customFormat="1" ht="76.5" x14ac:dyDescent="0.2">
      <c r="A758" s="1" t="s">
        <v>2744</v>
      </c>
      <c r="B758" s="2" t="s">
        <v>196</v>
      </c>
      <c r="C758" s="2" t="s">
        <v>2745</v>
      </c>
      <c r="D758" s="2" t="s">
        <v>33</v>
      </c>
      <c r="E758" s="2">
        <v>2022</v>
      </c>
      <c r="F758" s="2" t="s">
        <v>1791</v>
      </c>
      <c r="G758" s="2" t="s">
        <v>3092</v>
      </c>
      <c r="H758" s="2" t="s">
        <v>3092</v>
      </c>
      <c r="I758" s="1" t="s">
        <v>4010</v>
      </c>
      <c r="J758" s="1" t="s">
        <v>4011</v>
      </c>
      <c r="K758" s="17"/>
      <c r="L758" s="54"/>
      <c r="M758" s="39"/>
      <c r="N758" s="39"/>
      <c r="O758" s="39"/>
      <c r="P758" s="39"/>
      <c r="Q758" s="39"/>
      <c r="R758" s="39"/>
      <c r="S758" s="39"/>
      <c r="T758" s="39"/>
      <c r="U758" s="39"/>
      <c r="V758" s="39"/>
      <c r="W758" s="60" t="s">
        <v>3344</v>
      </c>
    </row>
    <row r="759" spans="1:23" s="79" customFormat="1" ht="76.5" x14ac:dyDescent="0.2">
      <c r="A759" s="1" t="s">
        <v>2744</v>
      </c>
      <c r="B759" s="2" t="s">
        <v>196</v>
      </c>
      <c r="C759" s="2" t="s">
        <v>2745</v>
      </c>
      <c r="D759" s="2" t="s">
        <v>33</v>
      </c>
      <c r="E759" s="2">
        <v>2022</v>
      </c>
      <c r="F759" s="2" t="s">
        <v>311</v>
      </c>
      <c r="G759" s="2" t="s">
        <v>3092</v>
      </c>
      <c r="H759" s="2" t="s">
        <v>3092</v>
      </c>
      <c r="I759" s="1" t="s">
        <v>4012</v>
      </c>
      <c r="J759" s="1" t="s">
        <v>4013</v>
      </c>
      <c r="K759" s="17"/>
      <c r="L759" s="54">
        <v>0.22900000000000001</v>
      </c>
      <c r="M759" s="39"/>
      <c r="N759" s="39"/>
      <c r="O759" s="39">
        <v>501.29</v>
      </c>
      <c r="P759" s="39"/>
      <c r="Q759" s="39"/>
      <c r="R759" s="39"/>
      <c r="S759" s="39"/>
      <c r="T759" s="39"/>
      <c r="U759" s="39"/>
      <c r="V759" s="39"/>
      <c r="W759" s="60"/>
    </row>
    <row r="760" spans="1:23" s="79" customFormat="1" ht="25.5" x14ac:dyDescent="0.2">
      <c r="A760" s="1" t="s">
        <v>2748</v>
      </c>
      <c r="B760" s="2" t="s">
        <v>196</v>
      </c>
      <c r="C760" s="2" t="s">
        <v>2749</v>
      </c>
      <c r="D760" s="2" t="s">
        <v>239</v>
      </c>
      <c r="E760" s="2">
        <v>2022</v>
      </c>
      <c r="F760" s="2" t="s">
        <v>1785</v>
      </c>
      <c r="G760" s="2" t="s">
        <v>3092</v>
      </c>
      <c r="H760" s="2" t="s">
        <v>3093</v>
      </c>
      <c r="I760" s="1" t="s">
        <v>4014</v>
      </c>
      <c r="J760" s="1" t="s">
        <v>14</v>
      </c>
      <c r="K760" s="17"/>
      <c r="L760" s="80"/>
      <c r="M760" s="15"/>
      <c r="N760" s="15"/>
      <c r="O760" s="15"/>
      <c r="P760" s="15"/>
      <c r="Q760" s="15"/>
      <c r="R760" s="15"/>
      <c r="S760" s="15"/>
      <c r="T760" s="15"/>
      <c r="U760" s="15"/>
      <c r="V760" s="15"/>
      <c r="W760" s="60"/>
    </row>
    <row r="761" spans="1:23" s="79" customFormat="1" ht="38.25" x14ac:dyDescent="0.2">
      <c r="A761" s="1" t="s">
        <v>2748</v>
      </c>
      <c r="B761" s="2" t="s">
        <v>196</v>
      </c>
      <c r="C761" s="2" t="s">
        <v>2749</v>
      </c>
      <c r="D761" s="2" t="s">
        <v>239</v>
      </c>
      <c r="E761" s="2">
        <v>2022</v>
      </c>
      <c r="F761" s="2" t="s">
        <v>1787</v>
      </c>
      <c r="G761" s="2" t="s">
        <v>3092</v>
      </c>
      <c r="H761" s="2" t="s">
        <v>3093</v>
      </c>
      <c r="I761" s="1" t="s">
        <v>4015</v>
      </c>
      <c r="J761" s="1" t="s">
        <v>14</v>
      </c>
      <c r="K761" s="17"/>
      <c r="L761" s="54"/>
      <c r="M761" s="39"/>
      <c r="N761" s="39"/>
      <c r="O761" s="39"/>
      <c r="P761" s="39"/>
      <c r="Q761" s="39"/>
      <c r="R761" s="39"/>
      <c r="S761" s="39"/>
      <c r="T761" s="39"/>
      <c r="U761" s="39"/>
      <c r="V761" s="39"/>
      <c r="W761" s="60" t="s">
        <v>1706</v>
      </c>
    </row>
    <row r="762" spans="1:23" s="79" customFormat="1" ht="63.75" x14ac:dyDescent="0.2">
      <c r="A762" s="1" t="s">
        <v>2748</v>
      </c>
      <c r="B762" s="2" t="s">
        <v>196</v>
      </c>
      <c r="C762" s="2" t="s">
        <v>2749</v>
      </c>
      <c r="D762" s="2" t="s">
        <v>239</v>
      </c>
      <c r="E762" s="2">
        <v>2022</v>
      </c>
      <c r="F762" s="2" t="s">
        <v>311</v>
      </c>
      <c r="G762" s="2" t="s">
        <v>3093</v>
      </c>
      <c r="H762" s="2" t="s">
        <v>3092</v>
      </c>
      <c r="I762" s="1" t="s">
        <v>4016</v>
      </c>
      <c r="J762" s="1" t="s">
        <v>4017</v>
      </c>
      <c r="K762" s="17"/>
      <c r="L762" s="54" t="s">
        <v>1670</v>
      </c>
      <c r="M762" s="39"/>
      <c r="N762" s="39"/>
      <c r="O762" s="39">
        <v>99.19</v>
      </c>
      <c r="P762" s="39"/>
      <c r="Q762" s="39"/>
      <c r="R762" s="39"/>
      <c r="S762" s="39"/>
      <c r="T762" s="39"/>
      <c r="U762" s="39"/>
      <c r="V762" s="39"/>
      <c r="W762" s="60" t="s">
        <v>4018</v>
      </c>
    </row>
    <row r="763" spans="1:23" s="79" customFormat="1" ht="25.5" x14ac:dyDescent="0.2">
      <c r="A763" s="1" t="s">
        <v>413</v>
      </c>
      <c r="B763" s="2" t="s">
        <v>228</v>
      </c>
      <c r="C763" s="2" t="s">
        <v>414</v>
      </c>
      <c r="D763" s="2" t="s">
        <v>415</v>
      </c>
      <c r="E763" s="2">
        <v>2022</v>
      </c>
      <c r="F763" s="2" t="s">
        <v>1787</v>
      </c>
      <c r="G763" s="2" t="s">
        <v>3095</v>
      </c>
      <c r="H763" s="2" t="s">
        <v>3092</v>
      </c>
      <c r="I763" s="1" t="s">
        <v>14</v>
      </c>
      <c r="J763" s="1" t="s">
        <v>4019</v>
      </c>
      <c r="K763" s="17"/>
      <c r="L763" s="54"/>
      <c r="M763" s="39"/>
      <c r="N763" s="39"/>
      <c r="O763" s="39"/>
      <c r="P763" s="39"/>
      <c r="Q763" s="39"/>
      <c r="R763" s="39"/>
      <c r="S763" s="39"/>
      <c r="T763" s="39"/>
      <c r="U763" s="39"/>
      <c r="V763" s="39"/>
      <c r="W763" s="60"/>
    </row>
    <row r="764" spans="1:23" s="79" customFormat="1" ht="25.5" x14ac:dyDescent="0.2">
      <c r="A764" s="1" t="s">
        <v>413</v>
      </c>
      <c r="B764" s="2" t="s">
        <v>228</v>
      </c>
      <c r="C764" s="2" t="s">
        <v>414</v>
      </c>
      <c r="D764" s="2" t="s">
        <v>415</v>
      </c>
      <c r="E764" s="2">
        <v>2022</v>
      </c>
      <c r="F764" s="2" t="s">
        <v>1796</v>
      </c>
      <c r="G764" s="2" t="s">
        <v>3095</v>
      </c>
      <c r="H764" s="2" t="s">
        <v>3092</v>
      </c>
      <c r="I764" s="1" t="s">
        <v>14</v>
      </c>
      <c r="J764" s="1" t="s">
        <v>4020</v>
      </c>
      <c r="K764" s="17"/>
      <c r="L764" s="54">
        <v>5.2999999999999999E-2</v>
      </c>
      <c r="M764" s="39">
        <v>26.84</v>
      </c>
      <c r="N764" s="39"/>
      <c r="O764" s="39"/>
      <c r="P764" s="39"/>
      <c r="Q764" s="39"/>
      <c r="R764" s="39"/>
      <c r="S764" s="39"/>
      <c r="T764" s="39"/>
      <c r="U764" s="39"/>
      <c r="V764" s="39"/>
      <c r="W764" s="60" t="s">
        <v>4021</v>
      </c>
    </row>
    <row r="765" spans="1:23" s="79" customFormat="1" ht="25.5" x14ac:dyDescent="0.2">
      <c r="A765" s="1" t="s">
        <v>193</v>
      </c>
      <c r="B765" s="2" t="s">
        <v>194</v>
      </c>
      <c r="C765" s="2" t="s">
        <v>195</v>
      </c>
      <c r="D765" s="2" t="s">
        <v>92</v>
      </c>
      <c r="E765" s="2">
        <v>2022</v>
      </c>
      <c r="F765" s="2" t="s">
        <v>1779</v>
      </c>
      <c r="G765" s="2" t="s">
        <v>3095</v>
      </c>
      <c r="H765" s="2" t="s">
        <v>3092</v>
      </c>
      <c r="I765" s="1" t="s">
        <v>14</v>
      </c>
      <c r="J765" s="1" t="s">
        <v>4022</v>
      </c>
      <c r="K765" s="17"/>
      <c r="L765" s="54" t="s">
        <v>1670</v>
      </c>
      <c r="M765" s="39"/>
      <c r="N765" s="39"/>
      <c r="O765" s="39">
        <v>33.31</v>
      </c>
      <c r="P765" s="39"/>
      <c r="Q765" s="39"/>
      <c r="R765" s="39"/>
      <c r="S765" s="39"/>
      <c r="T765" s="39"/>
      <c r="U765" s="39"/>
      <c r="V765" s="39"/>
      <c r="W765" s="60" t="s">
        <v>1699</v>
      </c>
    </row>
    <row r="766" spans="1:23" s="79" customFormat="1" ht="25.5" x14ac:dyDescent="0.2">
      <c r="A766" s="1" t="s">
        <v>193</v>
      </c>
      <c r="B766" s="2" t="s">
        <v>194</v>
      </c>
      <c r="C766" s="2" t="s">
        <v>195</v>
      </c>
      <c r="D766" s="2" t="s">
        <v>92</v>
      </c>
      <c r="E766" s="2">
        <v>2022</v>
      </c>
      <c r="F766" s="2" t="s">
        <v>1781</v>
      </c>
      <c r="G766" s="2" t="s">
        <v>3095</v>
      </c>
      <c r="H766" s="2" t="s">
        <v>3092</v>
      </c>
      <c r="I766" s="1" t="s">
        <v>14</v>
      </c>
      <c r="J766" s="1" t="s">
        <v>4023</v>
      </c>
      <c r="K766" s="17"/>
      <c r="L766" s="54" t="s">
        <v>1670</v>
      </c>
      <c r="M766" s="39"/>
      <c r="N766" s="39"/>
      <c r="O766" s="39">
        <v>62.9</v>
      </c>
      <c r="P766" s="39"/>
      <c r="Q766" s="39"/>
      <c r="R766" s="39"/>
      <c r="S766" s="39"/>
      <c r="T766" s="39"/>
      <c r="U766" s="39"/>
      <c r="V766" s="39"/>
      <c r="W766" s="60" t="s">
        <v>1699</v>
      </c>
    </row>
    <row r="767" spans="1:23" s="79" customFormat="1" ht="25.5" x14ac:dyDescent="0.2">
      <c r="A767" s="1" t="s">
        <v>193</v>
      </c>
      <c r="B767" s="2" t="s">
        <v>194</v>
      </c>
      <c r="C767" s="2" t="s">
        <v>195</v>
      </c>
      <c r="D767" s="2" t="s">
        <v>92</v>
      </c>
      <c r="E767" s="2">
        <v>2022</v>
      </c>
      <c r="F767" s="2" t="s">
        <v>1783</v>
      </c>
      <c r="G767" s="2" t="s">
        <v>3095</v>
      </c>
      <c r="H767" s="2" t="s">
        <v>3092</v>
      </c>
      <c r="I767" s="1" t="s">
        <v>14</v>
      </c>
      <c r="J767" s="1" t="s">
        <v>4024</v>
      </c>
      <c r="K767" s="17"/>
      <c r="L767" s="54" t="s">
        <v>1670</v>
      </c>
      <c r="M767" s="39"/>
      <c r="N767" s="39"/>
      <c r="O767" s="39">
        <v>61.42</v>
      </c>
      <c r="P767" s="39"/>
      <c r="Q767" s="39"/>
      <c r="R767" s="39"/>
      <c r="S767" s="39"/>
      <c r="T767" s="39"/>
      <c r="U767" s="39"/>
      <c r="V767" s="39"/>
      <c r="W767" s="60" t="s">
        <v>1699</v>
      </c>
    </row>
    <row r="768" spans="1:23" s="79" customFormat="1" ht="25.5" x14ac:dyDescent="0.2">
      <c r="A768" s="1" t="s">
        <v>193</v>
      </c>
      <c r="B768" s="2" t="s">
        <v>194</v>
      </c>
      <c r="C768" s="2" t="s">
        <v>195</v>
      </c>
      <c r="D768" s="2" t="s">
        <v>92</v>
      </c>
      <c r="E768" s="2">
        <v>2022</v>
      </c>
      <c r="F768" s="2" t="s">
        <v>1787</v>
      </c>
      <c r="G768" s="2" t="s">
        <v>3095</v>
      </c>
      <c r="H768" s="2" t="s">
        <v>3092</v>
      </c>
      <c r="I768" s="1" t="s">
        <v>14</v>
      </c>
      <c r="J768" s="1" t="s">
        <v>4025</v>
      </c>
      <c r="K768" s="17"/>
      <c r="L768" s="54" t="s">
        <v>1670</v>
      </c>
      <c r="M768" s="39"/>
      <c r="N768" s="39"/>
      <c r="O768" s="39">
        <v>57.66</v>
      </c>
      <c r="P768" s="39"/>
      <c r="Q768" s="39"/>
      <c r="R768" s="39"/>
      <c r="S768" s="39"/>
      <c r="T768" s="39"/>
      <c r="U768" s="39"/>
      <c r="V768" s="39"/>
      <c r="W768" s="60" t="s">
        <v>1699</v>
      </c>
    </row>
    <row r="769" spans="1:23" s="79" customFormat="1" ht="25.5" x14ac:dyDescent="0.2">
      <c r="A769" s="1" t="s">
        <v>193</v>
      </c>
      <c r="B769" s="2" t="s">
        <v>194</v>
      </c>
      <c r="C769" s="2" t="s">
        <v>195</v>
      </c>
      <c r="D769" s="2" t="s">
        <v>92</v>
      </c>
      <c r="E769" s="2">
        <v>2022</v>
      </c>
      <c r="F769" s="2" t="s">
        <v>1789</v>
      </c>
      <c r="G769" s="2" t="s">
        <v>3095</v>
      </c>
      <c r="H769" s="2" t="s">
        <v>3092</v>
      </c>
      <c r="I769" s="1" t="s">
        <v>14</v>
      </c>
      <c r="J769" s="1" t="s">
        <v>4026</v>
      </c>
      <c r="K769" s="17"/>
      <c r="L769" s="54" t="s">
        <v>1670</v>
      </c>
      <c r="M769" s="39"/>
      <c r="N769" s="39"/>
      <c r="O769" s="39">
        <v>63.39</v>
      </c>
      <c r="P769" s="39"/>
      <c r="Q769" s="39"/>
      <c r="R769" s="39"/>
      <c r="S769" s="39"/>
      <c r="T769" s="39"/>
      <c r="U769" s="39"/>
      <c r="V769" s="39"/>
      <c r="W769" s="60" t="s">
        <v>1699</v>
      </c>
    </row>
    <row r="770" spans="1:23" s="79" customFormat="1" ht="25.5" x14ac:dyDescent="0.2">
      <c r="A770" s="1" t="s">
        <v>193</v>
      </c>
      <c r="B770" s="2" t="s">
        <v>194</v>
      </c>
      <c r="C770" s="2" t="s">
        <v>195</v>
      </c>
      <c r="D770" s="2" t="s">
        <v>92</v>
      </c>
      <c r="E770" s="2">
        <v>2022</v>
      </c>
      <c r="F770" s="2" t="s">
        <v>311</v>
      </c>
      <c r="G770" s="2" t="s">
        <v>3095</v>
      </c>
      <c r="H770" s="2" t="s">
        <v>3092</v>
      </c>
      <c r="I770" s="1" t="s">
        <v>14</v>
      </c>
      <c r="J770" s="1" t="s">
        <v>4027</v>
      </c>
      <c r="K770" s="17"/>
      <c r="L770" s="54" t="s">
        <v>1670</v>
      </c>
      <c r="M770" s="39"/>
      <c r="N770" s="39"/>
      <c r="O770" s="39">
        <v>66.31</v>
      </c>
      <c r="P770" s="39"/>
      <c r="Q770" s="39"/>
      <c r="R770" s="39"/>
      <c r="S770" s="39"/>
      <c r="T770" s="39"/>
      <c r="U770" s="39"/>
      <c r="V770" s="39"/>
      <c r="W770" s="60" t="s">
        <v>1699</v>
      </c>
    </row>
    <row r="771" spans="1:23" s="79" customFormat="1" ht="25.5" x14ac:dyDescent="0.2">
      <c r="A771" s="1" t="s">
        <v>193</v>
      </c>
      <c r="B771" s="2" t="s">
        <v>194</v>
      </c>
      <c r="C771" s="2" t="s">
        <v>195</v>
      </c>
      <c r="D771" s="2" t="s">
        <v>92</v>
      </c>
      <c r="E771" s="2">
        <v>2022</v>
      </c>
      <c r="F771" s="2" t="s">
        <v>1796</v>
      </c>
      <c r="G771" s="2" t="s">
        <v>3095</v>
      </c>
      <c r="H771" s="2" t="s">
        <v>3092</v>
      </c>
      <c r="I771" s="1" t="s">
        <v>14</v>
      </c>
      <c r="J771" s="1" t="s">
        <v>4028</v>
      </c>
      <c r="K771" s="17"/>
      <c r="L771" s="54" t="s">
        <v>1670</v>
      </c>
      <c r="M771" s="39"/>
      <c r="N771" s="39"/>
      <c r="O771" s="39">
        <v>70.010000000000005</v>
      </c>
      <c r="P771" s="39"/>
      <c r="Q771" s="39"/>
      <c r="R771" s="39"/>
      <c r="S771" s="39"/>
      <c r="T771" s="39"/>
      <c r="U771" s="39"/>
      <c r="V771" s="39"/>
      <c r="W771" s="60" t="s">
        <v>1699</v>
      </c>
    </row>
    <row r="772" spans="1:23" s="79" customFormat="1" ht="89.25" x14ac:dyDescent="0.2">
      <c r="A772" s="1" t="s">
        <v>4029</v>
      </c>
      <c r="B772" s="2" t="s">
        <v>196</v>
      </c>
      <c r="C772" s="2" t="s">
        <v>4030</v>
      </c>
      <c r="D772" s="2" t="s">
        <v>158</v>
      </c>
      <c r="E772" s="2">
        <v>2022</v>
      </c>
      <c r="F772" s="2" t="s">
        <v>1789</v>
      </c>
      <c r="G772" s="2" t="s">
        <v>3092</v>
      </c>
      <c r="H772" s="2" t="s">
        <v>3092</v>
      </c>
      <c r="I772" s="1" t="s">
        <v>4031</v>
      </c>
      <c r="J772" s="1" t="s">
        <v>4032</v>
      </c>
      <c r="K772" s="17"/>
      <c r="L772" s="54">
        <v>0.09</v>
      </c>
      <c r="M772" s="39"/>
      <c r="N772" s="39"/>
      <c r="O772" s="39">
        <f>(133.32+18.92)/0.09</f>
        <v>1691.5555555555557</v>
      </c>
      <c r="P772" s="39"/>
      <c r="Q772" s="39"/>
      <c r="R772" s="39"/>
      <c r="S772" s="39"/>
      <c r="T772" s="39"/>
      <c r="U772" s="39"/>
      <c r="V772" s="39"/>
      <c r="W772" s="60"/>
    </row>
    <row r="773" spans="1:23" s="79" customFormat="1" ht="51" x14ac:dyDescent="0.2">
      <c r="A773" s="1" t="s">
        <v>417</v>
      </c>
      <c r="B773" s="2" t="s">
        <v>228</v>
      </c>
      <c r="C773" s="2" t="s">
        <v>418</v>
      </c>
      <c r="D773" s="2" t="s">
        <v>246</v>
      </c>
      <c r="E773" s="2">
        <v>2022</v>
      </c>
      <c r="F773" s="2" t="s">
        <v>1791</v>
      </c>
      <c r="G773" s="2" t="s">
        <v>3092</v>
      </c>
      <c r="H773" s="2" t="s">
        <v>3092</v>
      </c>
      <c r="I773" s="1" t="s">
        <v>4033</v>
      </c>
      <c r="J773" s="1" t="s">
        <v>4034</v>
      </c>
      <c r="K773" s="17"/>
      <c r="L773" s="54"/>
      <c r="M773" s="39"/>
      <c r="N773" s="39"/>
      <c r="O773" s="39"/>
      <c r="P773" s="39"/>
      <c r="Q773" s="39"/>
      <c r="R773" s="39"/>
      <c r="S773" s="39"/>
      <c r="T773" s="39"/>
      <c r="U773" s="39"/>
      <c r="V773" s="39"/>
      <c r="W773" s="60"/>
    </row>
    <row r="774" spans="1:23" s="79" customFormat="1" ht="76.5" x14ac:dyDescent="0.2">
      <c r="A774" s="1" t="s">
        <v>417</v>
      </c>
      <c r="B774" s="2" t="s">
        <v>228</v>
      </c>
      <c r="C774" s="2" t="s">
        <v>418</v>
      </c>
      <c r="D774" s="2" t="s">
        <v>246</v>
      </c>
      <c r="E774" s="2">
        <v>2022</v>
      </c>
      <c r="F774" s="2" t="s">
        <v>311</v>
      </c>
      <c r="G774" s="2" t="s">
        <v>3092</v>
      </c>
      <c r="H774" s="2" t="s">
        <v>3093</v>
      </c>
      <c r="I774" s="1" t="s">
        <v>4035</v>
      </c>
      <c r="J774" s="1" t="s">
        <v>14</v>
      </c>
      <c r="K774" s="17"/>
      <c r="L774" s="54">
        <v>0.5</v>
      </c>
      <c r="M774" s="39"/>
      <c r="N774" s="39"/>
      <c r="O774" s="39"/>
      <c r="P774" s="39"/>
      <c r="Q774" s="39"/>
      <c r="R774" s="39"/>
      <c r="S774" s="39"/>
      <c r="T774" s="39"/>
      <c r="U774" s="39"/>
      <c r="V774" s="39">
        <v>3.254</v>
      </c>
      <c r="W774" s="60"/>
    </row>
    <row r="775" spans="1:23" s="79" customFormat="1" ht="25.5" x14ac:dyDescent="0.2">
      <c r="A775" s="1" t="s">
        <v>133</v>
      </c>
      <c r="B775" s="2" t="s">
        <v>38</v>
      </c>
      <c r="C775" s="2" t="s">
        <v>134</v>
      </c>
      <c r="D775" s="2" t="s">
        <v>85</v>
      </c>
      <c r="E775" s="2">
        <v>2022</v>
      </c>
      <c r="F775" s="2" t="s">
        <v>1776</v>
      </c>
      <c r="G775" s="2" t="s">
        <v>3095</v>
      </c>
      <c r="H775" s="2" t="s">
        <v>3092</v>
      </c>
      <c r="I775" s="1" t="s">
        <v>14</v>
      </c>
      <c r="J775" s="1" t="s">
        <v>4036</v>
      </c>
      <c r="K775" s="17"/>
      <c r="L775" s="54">
        <v>0.16800000000000001</v>
      </c>
      <c r="M775" s="39"/>
      <c r="N775" s="39"/>
      <c r="O775" s="39"/>
      <c r="P775" s="39"/>
      <c r="Q775" s="39"/>
      <c r="R775" s="39"/>
      <c r="S775" s="39">
        <v>40.229999999999997</v>
      </c>
      <c r="T775" s="39"/>
      <c r="U775" s="39"/>
      <c r="V775" s="3"/>
      <c r="W775" s="60"/>
    </row>
    <row r="776" spans="1:23" s="79" customFormat="1" ht="25.5" x14ac:dyDescent="0.2">
      <c r="A776" s="1" t="s">
        <v>133</v>
      </c>
      <c r="B776" s="2" t="s">
        <v>38</v>
      </c>
      <c r="C776" s="2" t="s">
        <v>134</v>
      </c>
      <c r="D776" s="2" t="s">
        <v>85</v>
      </c>
      <c r="E776" s="2">
        <v>2022</v>
      </c>
      <c r="F776" s="2" t="s">
        <v>1779</v>
      </c>
      <c r="G776" s="2" t="s">
        <v>3095</v>
      </c>
      <c r="H776" s="2" t="s">
        <v>3092</v>
      </c>
      <c r="I776" s="1" t="s">
        <v>14</v>
      </c>
      <c r="J776" s="1" t="s">
        <v>4037</v>
      </c>
      <c r="K776" s="17"/>
      <c r="L776" s="54">
        <v>0.16900000000000001</v>
      </c>
      <c r="M776" s="39"/>
      <c r="N776" s="39"/>
      <c r="O776" s="39"/>
      <c r="P776" s="39"/>
      <c r="Q776" s="39"/>
      <c r="R776" s="39"/>
      <c r="S776" s="39">
        <v>30.71</v>
      </c>
      <c r="T776" s="39"/>
      <c r="U776" s="39"/>
      <c r="V776" s="3"/>
      <c r="W776" s="60"/>
    </row>
    <row r="777" spans="1:23" s="79" customFormat="1" ht="25.5" x14ac:dyDescent="0.2">
      <c r="A777" s="1" t="s">
        <v>133</v>
      </c>
      <c r="B777" s="2" t="s">
        <v>38</v>
      </c>
      <c r="C777" s="2" t="s">
        <v>134</v>
      </c>
      <c r="D777" s="2" t="s">
        <v>85</v>
      </c>
      <c r="E777" s="2">
        <v>2022</v>
      </c>
      <c r="F777" s="2" t="s">
        <v>1781</v>
      </c>
      <c r="G777" s="2" t="s">
        <v>3095</v>
      </c>
      <c r="H777" s="2" t="s">
        <v>3092</v>
      </c>
      <c r="I777" s="1" t="s">
        <v>14</v>
      </c>
      <c r="J777" s="1" t="s">
        <v>4038</v>
      </c>
      <c r="K777" s="17"/>
      <c r="L777" s="54">
        <v>0.17399999999999999</v>
      </c>
      <c r="M777" s="39"/>
      <c r="N777" s="39"/>
      <c r="O777" s="39"/>
      <c r="P777" s="39"/>
      <c r="Q777" s="39"/>
      <c r="R777" s="39"/>
      <c r="S777" s="39">
        <v>23.79</v>
      </c>
      <c r="T777" s="39"/>
      <c r="U777" s="39"/>
      <c r="V777" s="3"/>
      <c r="W777" s="60"/>
    </row>
    <row r="778" spans="1:23" s="79" customFormat="1" ht="25.5" x14ac:dyDescent="0.2">
      <c r="A778" s="1" t="s">
        <v>133</v>
      </c>
      <c r="B778" s="2" t="s">
        <v>38</v>
      </c>
      <c r="C778" s="2" t="s">
        <v>134</v>
      </c>
      <c r="D778" s="2" t="s">
        <v>85</v>
      </c>
      <c r="E778" s="2">
        <v>2022</v>
      </c>
      <c r="F778" s="2" t="s">
        <v>1783</v>
      </c>
      <c r="G778" s="2" t="s">
        <v>3095</v>
      </c>
      <c r="H778" s="2" t="s">
        <v>3092</v>
      </c>
      <c r="I778" s="1" t="s">
        <v>14</v>
      </c>
      <c r="J778" s="1" t="s">
        <v>4039</v>
      </c>
      <c r="K778" s="17"/>
      <c r="L778" s="54">
        <v>0.183</v>
      </c>
      <c r="M778" s="39"/>
      <c r="N778" s="39"/>
      <c r="O778" s="39"/>
      <c r="P778" s="39"/>
      <c r="Q778" s="39"/>
      <c r="R778" s="39"/>
      <c r="S778" s="39">
        <v>15.82</v>
      </c>
      <c r="T778" s="39"/>
      <c r="U778" s="39"/>
      <c r="V778" s="3"/>
      <c r="W778" s="60"/>
    </row>
    <row r="779" spans="1:23" s="79" customFormat="1" ht="25.5" x14ac:dyDescent="0.2">
      <c r="A779" s="1" t="s">
        <v>133</v>
      </c>
      <c r="B779" s="2" t="s">
        <v>38</v>
      </c>
      <c r="C779" s="2" t="s">
        <v>134</v>
      </c>
      <c r="D779" s="2" t="s">
        <v>85</v>
      </c>
      <c r="E779" s="2">
        <v>2022</v>
      </c>
      <c r="F779" s="2" t="s">
        <v>1785</v>
      </c>
      <c r="G779" s="2" t="s">
        <v>3095</v>
      </c>
      <c r="H779" s="2" t="s">
        <v>3092</v>
      </c>
      <c r="I779" s="1" t="s">
        <v>14</v>
      </c>
      <c r="J779" s="1" t="s">
        <v>4040</v>
      </c>
      <c r="K779" s="17"/>
      <c r="L779" s="54">
        <v>0.159</v>
      </c>
      <c r="M779" s="39"/>
      <c r="N779" s="39"/>
      <c r="O779" s="39"/>
      <c r="P779" s="39"/>
      <c r="Q779" s="39"/>
      <c r="R779" s="39"/>
      <c r="S779" s="39">
        <v>46.64</v>
      </c>
      <c r="T779" s="39"/>
      <c r="U779" s="39"/>
      <c r="V779" s="3"/>
      <c r="W779" s="60"/>
    </row>
    <row r="780" spans="1:23" s="79" customFormat="1" ht="25.5" x14ac:dyDescent="0.2">
      <c r="A780" s="1" t="s">
        <v>133</v>
      </c>
      <c r="B780" s="2" t="s">
        <v>38</v>
      </c>
      <c r="C780" s="2" t="s">
        <v>134</v>
      </c>
      <c r="D780" s="2" t="s">
        <v>85</v>
      </c>
      <c r="E780" s="2">
        <v>2022</v>
      </c>
      <c r="F780" s="2" t="s">
        <v>1787</v>
      </c>
      <c r="G780" s="2" t="s">
        <v>3095</v>
      </c>
      <c r="H780" s="2" t="s">
        <v>3092</v>
      </c>
      <c r="I780" s="1" t="s">
        <v>14</v>
      </c>
      <c r="J780" s="1" t="s">
        <v>4041</v>
      </c>
      <c r="K780" s="17"/>
      <c r="L780" s="54" t="s">
        <v>1670</v>
      </c>
      <c r="M780" s="39"/>
      <c r="N780" s="39"/>
      <c r="O780" s="39"/>
      <c r="P780" s="39"/>
      <c r="Q780" s="39"/>
      <c r="R780" s="39"/>
      <c r="S780" s="39">
        <v>33.99</v>
      </c>
      <c r="T780" s="39"/>
      <c r="U780" s="39"/>
      <c r="V780" s="3"/>
      <c r="W780" s="60"/>
    </row>
    <row r="781" spans="1:23" s="79" customFormat="1" ht="25.5" x14ac:dyDescent="0.2">
      <c r="A781" s="1" t="s">
        <v>133</v>
      </c>
      <c r="B781" s="2" t="s">
        <v>38</v>
      </c>
      <c r="C781" s="2" t="s">
        <v>134</v>
      </c>
      <c r="D781" s="2" t="s">
        <v>85</v>
      </c>
      <c r="E781" s="2">
        <v>2022</v>
      </c>
      <c r="F781" s="2" t="s">
        <v>1789</v>
      </c>
      <c r="G781" s="2" t="s">
        <v>3095</v>
      </c>
      <c r="H781" s="2" t="s">
        <v>3092</v>
      </c>
      <c r="I781" s="1" t="s">
        <v>14</v>
      </c>
      <c r="J781" s="1" t="s">
        <v>4042</v>
      </c>
      <c r="K781" s="17"/>
      <c r="L781" s="54">
        <v>0.19800000000000001</v>
      </c>
      <c r="M781" s="39"/>
      <c r="N781" s="39"/>
      <c r="O781" s="39"/>
      <c r="P781" s="39"/>
      <c r="Q781" s="39"/>
      <c r="R781" s="39"/>
      <c r="S781" s="39">
        <v>31.71</v>
      </c>
      <c r="T781" s="39"/>
      <c r="U781" s="39"/>
      <c r="V781" s="3"/>
      <c r="W781" s="60"/>
    </row>
    <row r="782" spans="1:23" s="79" customFormat="1" ht="25.5" x14ac:dyDescent="0.2">
      <c r="A782" s="1" t="s">
        <v>133</v>
      </c>
      <c r="B782" s="2" t="s">
        <v>38</v>
      </c>
      <c r="C782" s="2" t="s">
        <v>134</v>
      </c>
      <c r="D782" s="2" t="s">
        <v>85</v>
      </c>
      <c r="E782" s="2">
        <v>2022</v>
      </c>
      <c r="F782" s="2" t="s">
        <v>1791</v>
      </c>
      <c r="G782" s="2" t="s">
        <v>3095</v>
      </c>
      <c r="H782" s="2" t="s">
        <v>3092</v>
      </c>
      <c r="I782" s="1" t="s">
        <v>14</v>
      </c>
      <c r="J782" s="1" t="s">
        <v>4043</v>
      </c>
      <c r="K782" s="17"/>
      <c r="L782" s="54">
        <v>0.191</v>
      </c>
      <c r="M782" s="39"/>
      <c r="N782" s="39"/>
      <c r="O782" s="39"/>
      <c r="P782" s="39"/>
      <c r="Q782" s="39"/>
      <c r="R782" s="39"/>
      <c r="S782" s="39">
        <v>43.97</v>
      </c>
      <c r="T782" s="39"/>
      <c r="U782" s="39"/>
      <c r="V782" s="3"/>
      <c r="W782" s="60"/>
    </row>
    <row r="783" spans="1:23" s="79" customFormat="1" ht="25.5" x14ac:dyDescent="0.2">
      <c r="A783" s="1" t="s">
        <v>133</v>
      </c>
      <c r="B783" s="2" t="s">
        <v>38</v>
      </c>
      <c r="C783" s="2" t="s">
        <v>134</v>
      </c>
      <c r="D783" s="2" t="s">
        <v>85</v>
      </c>
      <c r="E783" s="2">
        <v>2022</v>
      </c>
      <c r="F783" s="2" t="s">
        <v>311</v>
      </c>
      <c r="G783" s="2" t="s">
        <v>3095</v>
      </c>
      <c r="H783" s="2" t="s">
        <v>3092</v>
      </c>
      <c r="I783" s="1" t="s">
        <v>14</v>
      </c>
      <c r="J783" s="1" t="s">
        <v>4044</v>
      </c>
      <c r="K783" s="17"/>
      <c r="L783" s="54">
        <v>0.185</v>
      </c>
      <c r="M783" s="39"/>
      <c r="N783" s="39"/>
      <c r="O783" s="39"/>
      <c r="P783" s="39"/>
      <c r="Q783" s="39"/>
      <c r="R783" s="39"/>
      <c r="S783" s="39">
        <v>30.74</v>
      </c>
      <c r="T783" s="39"/>
      <c r="U783" s="39"/>
      <c r="V783" s="3"/>
      <c r="W783" s="60"/>
    </row>
    <row r="784" spans="1:23" s="79" customFormat="1" ht="25.5" x14ac:dyDescent="0.2">
      <c r="A784" s="1" t="s">
        <v>133</v>
      </c>
      <c r="B784" s="2" t="s">
        <v>38</v>
      </c>
      <c r="C784" s="2" t="s">
        <v>134</v>
      </c>
      <c r="D784" s="2" t="s">
        <v>85</v>
      </c>
      <c r="E784" s="2">
        <v>2022</v>
      </c>
      <c r="F784" s="2" t="s">
        <v>1794</v>
      </c>
      <c r="G784" s="2" t="s">
        <v>3095</v>
      </c>
      <c r="H784" s="2" t="s">
        <v>3092</v>
      </c>
      <c r="I784" s="1" t="s">
        <v>14</v>
      </c>
      <c r="J784" s="1" t="s">
        <v>4045</v>
      </c>
      <c r="K784" s="17"/>
      <c r="L784" s="54">
        <v>0.159</v>
      </c>
      <c r="M784" s="39"/>
      <c r="N784" s="39"/>
      <c r="O784" s="39"/>
      <c r="P784" s="39"/>
      <c r="Q784" s="39"/>
      <c r="R784" s="39"/>
      <c r="S784" s="39">
        <v>38.11</v>
      </c>
      <c r="T784" s="39"/>
      <c r="U784" s="39"/>
      <c r="V784" s="3"/>
      <c r="W784" s="60"/>
    </row>
    <row r="785" spans="1:23" s="79" customFormat="1" ht="25.5" x14ac:dyDescent="0.2">
      <c r="A785" s="1" t="s">
        <v>133</v>
      </c>
      <c r="B785" s="2" t="s">
        <v>38</v>
      </c>
      <c r="C785" s="2" t="s">
        <v>134</v>
      </c>
      <c r="D785" s="2" t="s">
        <v>85</v>
      </c>
      <c r="E785" s="2">
        <v>2022</v>
      </c>
      <c r="F785" s="2" t="s">
        <v>1796</v>
      </c>
      <c r="G785" s="2" t="s">
        <v>3095</v>
      </c>
      <c r="H785" s="2" t="s">
        <v>3092</v>
      </c>
      <c r="I785" s="1" t="s">
        <v>14</v>
      </c>
      <c r="J785" s="1" t="s">
        <v>4046</v>
      </c>
      <c r="K785" s="17"/>
      <c r="L785" s="54">
        <v>0.17499999999999999</v>
      </c>
      <c r="M785" s="39"/>
      <c r="N785" s="39"/>
      <c r="O785" s="39"/>
      <c r="P785" s="39"/>
      <c r="Q785" s="39"/>
      <c r="R785" s="39"/>
      <c r="S785" s="39">
        <v>31.93</v>
      </c>
      <c r="T785" s="39"/>
      <c r="U785" s="39"/>
      <c r="V785" s="3"/>
      <c r="W785" s="60"/>
    </row>
    <row r="786" spans="1:23" s="79" customFormat="1" ht="25.5" x14ac:dyDescent="0.2">
      <c r="A786" s="1" t="s">
        <v>133</v>
      </c>
      <c r="B786" s="2" t="s">
        <v>38</v>
      </c>
      <c r="C786" s="2" t="s">
        <v>134</v>
      </c>
      <c r="D786" s="2" t="s">
        <v>85</v>
      </c>
      <c r="E786" s="2">
        <v>2022</v>
      </c>
      <c r="F786" s="2" t="s">
        <v>1798</v>
      </c>
      <c r="G786" s="2" t="s">
        <v>3095</v>
      </c>
      <c r="H786" s="2" t="s">
        <v>3092</v>
      </c>
      <c r="I786" s="1" t="s">
        <v>14</v>
      </c>
      <c r="J786" s="1" t="s">
        <v>4047</v>
      </c>
      <c r="K786" s="17"/>
      <c r="L786" s="54">
        <v>0.159</v>
      </c>
      <c r="M786" s="39"/>
      <c r="N786" s="39"/>
      <c r="O786" s="39"/>
      <c r="P786" s="39"/>
      <c r="Q786" s="39"/>
      <c r="R786" s="39"/>
      <c r="S786" s="39">
        <v>22.08</v>
      </c>
      <c r="T786" s="39"/>
      <c r="U786" s="39"/>
      <c r="V786" s="3"/>
      <c r="W786" s="60"/>
    </row>
    <row r="787" spans="1:23" s="79" customFormat="1" ht="25.5" x14ac:dyDescent="0.2">
      <c r="A787" s="1" t="s">
        <v>180</v>
      </c>
      <c r="B787" s="2" t="s">
        <v>48</v>
      </c>
      <c r="C787" s="2" t="s">
        <v>181</v>
      </c>
      <c r="D787" s="2" t="s">
        <v>46</v>
      </c>
      <c r="E787" s="2">
        <v>2022</v>
      </c>
      <c r="F787" s="2" t="s">
        <v>1776</v>
      </c>
      <c r="G787" s="2" t="s">
        <v>3095</v>
      </c>
      <c r="H787" s="2" t="s">
        <v>3092</v>
      </c>
      <c r="I787" s="1" t="s">
        <v>14</v>
      </c>
      <c r="J787" s="1" t="s">
        <v>4048</v>
      </c>
      <c r="K787" s="17"/>
      <c r="L787" s="54">
        <v>0.14599999999999999</v>
      </c>
      <c r="M787" s="39"/>
      <c r="N787" s="39"/>
      <c r="O787" s="39">
        <v>35.299999999999997</v>
      </c>
      <c r="P787" s="39"/>
      <c r="Q787" s="39"/>
      <c r="R787" s="39"/>
      <c r="S787" s="39"/>
      <c r="T787" s="39"/>
      <c r="U787" s="39"/>
      <c r="V787" s="39"/>
      <c r="W787" s="60"/>
    </row>
    <row r="788" spans="1:23" s="79" customFormat="1" ht="25.5" x14ac:dyDescent="0.2">
      <c r="A788" s="1" t="s">
        <v>180</v>
      </c>
      <c r="B788" s="2" t="s">
        <v>48</v>
      </c>
      <c r="C788" s="2" t="s">
        <v>181</v>
      </c>
      <c r="D788" s="2" t="s">
        <v>46</v>
      </c>
      <c r="E788" s="2">
        <v>2022</v>
      </c>
      <c r="F788" s="2" t="s">
        <v>1779</v>
      </c>
      <c r="G788" s="2" t="s">
        <v>3095</v>
      </c>
      <c r="H788" s="2" t="s">
        <v>3092</v>
      </c>
      <c r="I788" s="1" t="s">
        <v>14</v>
      </c>
      <c r="J788" s="1" t="s">
        <v>4049</v>
      </c>
      <c r="K788" s="17"/>
      <c r="L788" s="54">
        <v>0.13800000000000001</v>
      </c>
      <c r="M788" s="39"/>
      <c r="N788" s="39"/>
      <c r="O788" s="39">
        <v>72.81</v>
      </c>
      <c r="P788" s="39"/>
      <c r="Q788" s="39"/>
      <c r="R788" s="39"/>
      <c r="S788" s="39"/>
      <c r="T788" s="39"/>
      <c r="U788" s="39"/>
      <c r="V788" s="39"/>
      <c r="W788" s="60"/>
    </row>
    <row r="789" spans="1:23" s="79" customFormat="1" ht="25.5" x14ac:dyDescent="0.2">
      <c r="A789" s="1" t="s">
        <v>180</v>
      </c>
      <c r="B789" s="2" t="s">
        <v>48</v>
      </c>
      <c r="C789" s="2" t="s">
        <v>181</v>
      </c>
      <c r="D789" s="2" t="s">
        <v>46</v>
      </c>
      <c r="E789" s="2">
        <v>2022</v>
      </c>
      <c r="F789" s="2" t="s">
        <v>1781</v>
      </c>
      <c r="G789" s="2" t="s">
        <v>3095</v>
      </c>
      <c r="H789" s="2" t="s">
        <v>3092</v>
      </c>
      <c r="I789" s="1" t="s">
        <v>14</v>
      </c>
      <c r="J789" s="1" t="s">
        <v>4050</v>
      </c>
      <c r="K789" s="17"/>
      <c r="L789" s="54">
        <v>0.14399999999999999</v>
      </c>
      <c r="M789" s="39"/>
      <c r="N789" s="39"/>
      <c r="O789" s="39">
        <v>52.38</v>
      </c>
      <c r="P789" s="39"/>
      <c r="Q789" s="39"/>
      <c r="R789" s="39"/>
      <c r="S789" s="39"/>
      <c r="T789" s="39"/>
      <c r="U789" s="39"/>
      <c r="V789" s="39"/>
      <c r="W789" s="60"/>
    </row>
    <row r="790" spans="1:23" s="79" customFormat="1" ht="25.5" x14ac:dyDescent="0.2">
      <c r="A790" s="1" t="s">
        <v>180</v>
      </c>
      <c r="B790" s="2" t="s">
        <v>48</v>
      </c>
      <c r="C790" s="2" t="s">
        <v>181</v>
      </c>
      <c r="D790" s="2" t="s">
        <v>46</v>
      </c>
      <c r="E790" s="2">
        <v>2022</v>
      </c>
      <c r="F790" s="2" t="s">
        <v>1783</v>
      </c>
      <c r="G790" s="2" t="s">
        <v>3095</v>
      </c>
      <c r="H790" s="2" t="s">
        <v>3092</v>
      </c>
      <c r="I790" s="1" t="s">
        <v>14</v>
      </c>
      <c r="J790" s="1" t="s">
        <v>4051</v>
      </c>
      <c r="K790" s="17"/>
      <c r="L790" s="54">
        <v>0.14799999999999999</v>
      </c>
      <c r="M790" s="39"/>
      <c r="N790" s="39"/>
      <c r="O790" s="39">
        <v>43.76</v>
      </c>
      <c r="P790" s="39"/>
      <c r="Q790" s="39"/>
      <c r="R790" s="39"/>
      <c r="S790" s="39"/>
      <c r="T790" s="39"/>
      <c r="U790" s="39"/>
      <c r="V790" s="39"/>
      <c r="W790" s="60"/>
    </row>
    <row r="791" spans="1:23" s="79" customFormat="1" ht="25.5" x14ac:dyDescent="0.2">
      <c r="A791" s="1" t="s">
        <v>180</v>
      </c>
      <c r="B791" s="2" t="s">
        <v>48</v>
      </c>
      <c r="C791" s="2" t="s">
        <v>181</v>
      </c>
      <c r="D791" s="2" t="s">
        <v>46</v>
      </c>
      <c r="E791" s="2">
        <v>2022</v>
      </c>
      <c r="F791" s="2" t="s">
        <v>1785</v>
      </c>
      <c r="G791" s="2" t="s">
        <v>3095</v>
      </c>
      <c r="H791" s="2" t="s">
        <v>3092</v>
      </c>
      <c r="I791" s="1" t="s">
        <v>14</v>
      </c>
      <c r="J791" s="1" t="s">
        <v>4052</v>
      </c>
      <c r="K791" s="17"/>
      <c r="L791" s="54">
        <v>0.13800000000000001</v>
      </c>
      <c r="M791" s="39"/>
      <c r="N791" s="39"/>
      <c r="O791" s="39">
        <v>46.55</v>
      </c>
      <c r="P791" s="39"/>
      <c r="Q791" s="39"/>
      <c r="R791" s="39"/>
      <c r="S791" s="39"/>
      <c r="T791" s="39"/>
      <c r="U791" s="39"/>
      <c r="V791" s="39"/>
      <c r="W791" s="60"/>
    </row>
    <row r="792" spans="1:23" s="79" customFormat="1" ht="25.5" x14ac:dyDescent="0.2">
      <c r="A792" s="1" t="s">
        <v>180</v>
      </c>
      <c r="B792" s="2" t="s">
        <v>48</v>
      </c>
      <c r="C792" s="2" t="s">
        <v>181</v>
      </c>
      <c r="D792" s="2" t="s">
        <v>46</v>
      </c>
      <c r="E792" s="2">
        <v>2022</v>
      </c>
      <c r="F792" s="2" t="s">
        <v>1787</v>
      </c>
      <c r="G792" s="2" t="s">
        <v>3095</v>
      </c>
      <c r="H792" s="2" t="s">
        <v>3092</v>
      </c>
      <c r="I792" s="1" t="s">
        <v>14</v>
      </c>
      <c r="J792" s="1" t="s">
        <v>4053</v>
      </c>
      <c r="K792" s="17"/>
      <c r="L792" s="54">
        <v>0.14399999999999999</v>
      </c>
      <c r="M792" s="39"/>
      <c r="N792" s="39"/>
      <c r="O792" s="39">
        <v>33.81</v>
      </c>
      <c r="P792" s="39"/>
      <c r="Q792" s="39"/>
      <c r="R792" s="39"/>
      <c r="S792" s="39"/>
      <c r="T792" s="39"/>
      <c r="U792" s="39"/>
      <c r="V792" s="39"/>
      <c r="W792" s="60"/>
    </row>
    <row r="793" spans="1:23" s="79" customFormat="1" ht="25.5" x14ac:dyDescent="0.2">
      <c r="A793" s="1" t="s">
        <v>180</v>
      </c>
      <c r="B793" s="2" t="s">
        <v>48</v>
      </c>
      <c r="C793" s="2" t="s">
        <v>181</v>
      </c>
      <c r="D793" s="2" t="s">
        <v>46</v>
      </c>
      <c r="E793" s="2">
        <v>2022</v>
      </c>
      <c r="F793" s="2" t="s">
        <v>1789</v>
      </c>
      <c r="G793" s="2" t="s">
        <v>3095</v>
      </c>
      <c r="H793" s="2" t="s">
        <v>3092</v>
      </c>
      <c r="I793" s="1" t="s">
        <v>14</v>
      </c>
      <c r="J793" s="1" t="s">
        <v>4054</v>
      </c>
      <c r="K793" s="17"/>
      <c r="L793" s="54">
        <v>0.158</v>
      </c>
      <c r="M793" s="39"/>
      <c r="N793" s="39"/>
      <c r="O793" s="39">
        <v>32.93</v>
      </c>
      <c r="P793" s="39"/>
      <c r="Q793" s="39"/>
      <c r="R793" s="39"/>
      <c r="S793" s="39"/>
      <c r="T793" s="39"/>
      <c r="U793" s="39"/>
      <c r="V793" s="39"/>
      <c r="W793" s="60"/>
    </row>
    <row r="794" spans="1:23" s="79" customFormat="1" ht="25.5" x14ac:dyDescent="0.2">
      <c r="A794" s="1" t="s">
        <v>180</v>
      </c>
      <c r="B794" s="2" t="s">
        <v>48</v>
      </c>
      <c r="C794" s="2" t="s">
        <v>181</v>
      </c>
      <c r="D794" s="2" t="s">
        <v>46</v>
      </c>
      <c r="E794" s="2">
        <v>2022</v>
      </c>
      <c r="F794" s="2" t="s">
        <v>1791</v>
      </c>
      <c r="G794" s="2" t="s">
        <v>3095</v>
      </c>
      <c r="H794" s="2" t="s">
        <v>3092</v>
      </c>
      <c r="I794" s="1" t="s">
        <v>14</v>
      </c>
      <c r="J794" s="1" t="s">
        <v>4055</v>
      </c>
      <c r="K794" s="17"/>
      <c r="L794" s="54">
        <v>0.152</v>
      </c>
      <c r="M794" s="39"/>
      <c r="N794" s="39"/>
      <c r="O794" s="39">
        <v>33.74</v>
      </c>
      <c r="P794" s="39"/>
      <c r="Q794" s="39"/>
      <c r="R794" s="39"/>
      <c r="S794" s="39"/>
      <c r="T794" s="39"/>
      <c r="U794" s="39"/>
      <c r="V794" s="39"/>
      <c r="W794" s="60"/>
    </row>
    <row r="795" spans="1:23" s="79" customFormat="1" ht="25.5" x14ac:dyDescent="0.2">
      <c r="A795" s="1" t="s">
        <v>180</v>
      </c>
      <c r="B795" s="2" t="s">
        <v>48</v>
      </c>
      <c r="C795" s="2" t="s">
        <v>181</v>
      </c>
      <c r="D795" s="2" t="s">
        <v>46</v>
      </c>
      <c r="E795" s="2">
        <v>2022</v>
      </c>
      <c r="F795" s="2" t="s">
        <v>311</v>
      </c>
      <c r="G795" s="2" t="s">
        <v>3095</v>
      </c>
      <c r="H795" s="2" t="s">
        <v>3092</v>
      </c>
      <c r="I795" s="1" t="s">
        <v>14</v>
      </c>
      <c r="J795" s="1" t="s">
        <v>4056</v>
      </c>
      <c r="K795" s="17"/>
      <c r="L795" s="54">
        <v>0.13900000000000001</v>
      </c>
      <c r="M795" s="39"/>
      <c r="N795" s="39"/>
      <c r="O795" s="39">
        <v>52.62</v>
      </c>
      <c r="P795" s="39"/>
      <c r="Q795" s="39"/>
      <c r="R795" s="39"/>
      <c r="S795" s="39"/>
      <c r="T795" s="39"/>
      <c r="U795" s="39"/>
      <c r="V795" s="39"/>
      <c r="W795" s="60"/>
    </row>
    <row r="796" spans="1:23" s="79" customFormat="1" ht="25.5" x14ac:dyDescent="0.2">
      <c r="A796" s="1" t="s">
        <v>180</v>
      </c>
      <c r="B796" s="2" t="s">
        <v>48</v>
      </c>
      <c r="C796" s="2" t="s">
        <v>181</v>
      </c>
      <c r="D796" s="2" t="s">
        <v>46</v>
      </c>
      <c r="E796" s="2">
        <v>2022</v>
      </c>
      <c r="F796" s="2" t="s">
        <v>1794</v>
      </c>
      <c r="G796" s="2" t="s">
        <v>3095</v>
      </c>
      <c r="H796" s="2" t="s">
        <v>3092</v>
      </c>
      <c r="I796" s="1" t="s">
        <v>14</v>
      </c>
      <c r="J796" s="1" t="s">
        <v>4057</v>
      </c>
      <c r="K796" s="17"/>
      <c r="L796" s="54">
        <v>0.14099999999999999</v>
      </c>
      <c r="M796" s="39"/>
      <c r="N796" s="39"/>
      <c r="O796" s="39">
        <v>51.72</v>
      </c>
      <c r="P796" s="39"/>
      <c r="Q796" s="39"/>
      <c r="R796" s="39"/>
      <c r="S796" s="39"/>
      <c r="T796" s="39"/>
      <c r="U796" s="39"/>
      <c r="V796" s="39"/>
      <c r="W796" s="60"/>
    </row>
    <row r="797" spans="1:23" s="79" customFormat="1" ht="25.5" x14ac:dyDescent="0.2">
      <c r="A797" s="1" t="s">
        <v>180</v>
      </c>
      <c r="B797" s="2" t="s">
        <v>48</v>
      </c>
      <c r="C797" s="2" t="s">
        <v>181</v>
      </c>
      <c r="D797" s="2" t="s">
        <v>46</v>
      </c>
      <c r="E797" s="2">
        <v>2022</v>
      </c>
      <c r="F797" s="2" t="s">
        <v>1796</v>
      </c>
      <c r="G797" s="2" t="s">
        <v>3095</v>
      </c>
      <c r="H797" s="2" t="s">
        <v>3092</v>
      </c>
      <c r="I797" s="1" t="s">
        <v>14</v>
      </c>
      <c r="J797" s="1" t="s">
        <v>4058</v>
      </c>
      <c r="K797" s="17"/>
      <c r="L797" s="54">
        <v>0.151</v>
      </c>
      <c r="M797" s="39"/>
      <c r="N797" s="39"/>
      <c r="O797" s="39">
        <v>48.76</v>
      </c>
      <c r="P797" s="39"/>
      <c r="Q797" s="39"/>
      <c r="R797" s="39"/>
      <c r="S797" s="39"/>
      <c r="T797" s="39"/>
      <c r="U797" s="39"/>
      <c r="V797" s="39"/>
      <c r="W797" s="60"/>
    </row>
    <row r="798" spans="1:23" s="79" customFormat="1" ht="25.5" x14ac:dyDescent="0.2">
      <c r="A798" s="1" t="s">
        <v>180</v>
      </c>
      <c r="B798" s="2" t="s">
        <v>48</v>
      </c>
      <c r="C798" s="2" t="s">
        <v>181</v>
      </c>
      <c r="D798" s="2" t="s">
        <v>46</v>
      </c>
      <c r="E798" s="2">
        <v>2022</v>
      </c>
      <c r="F798" s="2" t="s">
        <v>1798</v>
      </c>
      <c r="G798" s="2" t="s">
        <v>3095</v>
      </c>
      <c r="H798" s="2" t="s">
        <v>3092</v>
      </c>
      <c r="I798" s="1" t="s">
        <v>14</v>
      </c>
      <c r="J798" s="1" t="s">
        <v>4059</v>
      </c>
      <c r="K798" s="17"/>
      <c r="L798" s="54">
        <v>0.14199999999999999</v>
      </c>
      <c r="M798" s="39"/>
      <c r="N798" s="39"/>
      <c r="O798" s="39">
        <v>53.38</v>
      </c>
      <c r="P798" s="39"/>
      <c r="Q798" s="39"/>
      <c r="R798" s="39"/>
      <c r="S798" s="39"/>
      <c r="T798" s="39"/>
      <c r="U798" s="39"/>
      <c r="V798" s="39"/>
      <c r="W798" s="60"/>
    </row>
    <row r="799" spans="1:23" s="79" customFormat="1" ht="165.75" x14ac:dyDescent="0.2">
      <c r="A799" s="1" t="s">
        <v>4060</v>
      </c>
      <c r="B799" s="2" t="s">
        <v>222</v>
      </c>
      <c r="C799" s="2" t="s">
        <v>4061</v>
      </c>
      <c r="D799" s="2" t="s">
        <v>377</v>
      </c>
      <c r="E799" s="2">
        <v>2022</v>
      </c>
      <c r="F799" s="2" t="s">
        <v>311</v>
      </c>
      <c r="G799" s="2" t="s">
        <v>3092</v>
      </c>
      <c r="H799" s="2" t="s">
        <v>3092</v>
      </c>
      <c r="I799" s="1" t="s">
        <v>4062</v>
      </c>
      <c r="J799" s="1" t="s">
        <v>4063</v>
      </c>
      <c r="K799" s="17"/>
      <c r="L799" s="54" t="s">
        <v>1670</v>
      </c>
      <c r="M799" s="39"/>
      <c r="N799" s="39"/>
      <c r="O799" s="39"/>
      <c r="P799" s="39"/>
      <c r="Q799" s="39"/>
      <c r="R799" s="39"/>
      <c r="S799" s="39"/>
      <c r="T799" s="39"/>
      <c r="U799" s="39"/>
      <c r="V799" s="39">
        <v>87.13</v>
      </c>
      <c r="W799" s="60" t="s">
        <v>3304</v>
      </c>
    </row>
    <row r="800" spans="1:23" s="79" customFormat="1" ht="38.25" x14ac:dyDescent="0.2">
      <c r="A800" s="1" t="s">
        <v>75</v>
      </c>
      <c r="B800" s="2" t="s">
        <v>16</v>
      </c>
      <c r="C800" s="2" t="s">
        <v>76</v>
      </c>
      <c r="D800" s="2" t="s">
        <v>77</v>
      </c>
      <c r="E800" s="2">
        <v>2022</v>
      </c>
      <c r="F800" s="2" t="s">
        <v>1776</v>
      </c>
      <c r="G800" s="2" t="s">
        <v>3095</v>
      </c>
      <c r="H800" s="2" t="s">
        <v>3092</v>
      </c>
      <c r="I800" s="1" t="s">
        <v>14</v>
      </c>
      <c r="J800" s="1" t="s">
        <v>4064</v>
      </c>
      <c r="K800" s="17"/>
      <c r="L800" s="54">
        <v>0.308</v>
      </c>
      <c r="M800" s="39"/>
      <c r="N800" s="39"/>
      <c r="O800" s="39">
        <v>818.76</v>
      </c>
      <c r="P800" s="39"/>
      <c r="Q800" s="39"/>
      <c r="R800" s="39"/>
      <c r="S800" s="39"/>
      <c r="T800" s="39"/>
      <c r="U800" s="39"/>
      <c r="V800" s="39"/>
      <c r="W800" s="60"/>
    </row>
    <row r="801" spans="1:23" s="79" customFormat="1" ht="38.25" x14ac:dyDescent="0.2">
      <c r="A801" s="1" t="s">
        <v>75</v>
      </c>
      <c r="B801" s="2" t="s">
        <v>16</v>
      </c>
      <c r="C801" s="2" t="s">
        <v>76</v>
      </c>
      <c r="D801" s="2" t="s">
        <v>77</v>
      </c>
      <c r="E801" s="2">
        <v>2022</v>
      </c>
      <c r="F801" s="2" t="s">
        <v>1779</v>
      </c>
      <c r="G801" s="2" t="s">
        <v>3095</v>
      </c>
      <c r="H801" s="2" t="s">
        <v>3092</v>
      </c>
      <c r="I801" s="1" t="s">
        <v>14</v>
      </c>
      <c r="J801" s="1" t="s">
        <v>4065</v>
      </c>
      <c r="K801" s="17"/>
      <c r="L801" s="54">
        <v>0.317</v>
      </c>
      <c r="M801" s="39"/>
      <c r="N801" s="39"/>
      <c r="O801" s="39">
        <v>949.46</v>
      </c>
      <c r="P801" s="39"/>
      <c r="Q801" s="39"/>
      <c r="R801" s="39"/>
      <c r="S801" s="39"/>
      <c r="T801" s="39"/>
      <c r="U801" s="39"/>
      <c r="V801" s="39"/>
      <c r="W801" s="60"/>
    </row>
    <row r="802" spans="1:23" s="79" customFormat="1" ht="25.5" x14ac:dyDescent="0.2">
      <c r="A802" s="1" t="s">
        <v>75</v>
      </c>
      <c r="B802" s="2" t="s">
        <v>16</v>
      </c>
      <c r="C802" s="2" t="s">
        <v>76</v>
      </c>
      <c r="D802" s="2" t="s">
        <v>77</v>
      </c>
      <c r="E802" s="2">
        <v>2022</v>
      </c>
      <c r="F802" s="2" t="s">
        <v>1781</v>
      </c>
      <c r="G802" s="2" t="s">
        <v>3095</v>
      </c>
      <c r="H802" s="2" t="s">
        <v>3092</v>
      </c>
      <c r="I802" s="1" t="s">
        <v>14</v>
      </c>
      <c r="J802" s="1" t="s">
        <v>4066</v>
      </c>
      <c r="K802" s="17"/>
      <c r="L802" s="54">
        <v>0.32300000000000001</v>
      </c>
      <c r="M802" s="39"/>
      <c r="N802" s="39"/>
      <c r="O802" s="39">
        <v>926.5</v>
      </c>
      <c r="P802" s="39"/>
      <c r="Q802" s="39"/>
      <c r="R802" s="39"/>
      <c r="S802" s="39"/>
      <c r="T802" s="39"/>
      <c r="U802" s="39"/>
      <c r="V802" s="39"/>
      <c r="W802" s="60"/>
    </row>
    <row r="803" spans="1:23" s="79" customFormat="1" ht="25.5" x14ac:dyDescent="0.2">
      <c r="A803" s="1" t="s">
        <v>75</v>
      </c>
      <c r="B803" s="2" t="s">
        <v>16</v>
      </c>
      <c r="C803" s="2" t="s">
        <v>76</v>
      </c>
      <c r="D803" s="2" t="s">
        <v>77</v>
      </c>
      <c r="E803" s="2">
        <v>2022</v>
      </c>
      <c r="F803" s="2" t="s">
        <v>1783</v>
      </c>
      <c r="G803" s="2" t="s">
        <v>3095</v>
      </c>
      <c r="H803" s="2" t="s">
        <v>3092</v>
      </c>
      <c r="I803" s="1" t="s">
        <v>14</v>
      </c>
      <c r="J803" s="1" t="s">
        <v>4067</v>
      </c>
      <c r="K803" s="17"/>
      <c r="L803" s="54" t="s">
        <v>1670</v>
      </c>
      <c r="M803" s="39"/>
      <c r="N803" s="39"/>
      <c r="O803" s="39">
        <v>794.5</v>
      </c>
      <c r="P803" s="39"/>
      <c r="Q803" s="39"/>
      <c r="R803" s="39"/>
      <c r="S803" s="39"/>
      <c r="T803" s="39"/>
      <c r="U803" s="39"/>
      <c r="V803" s="39"/>
      <c r="W803" s="60"/>
    </row>
    <row r="804" spans="1:23" s="79" customFormat="1" ht="25.5" x14ac:dyDescent="0.2">
      <c r="A804" s="1" t="s">
        <v>75</v>
      </c>
      <c r="B804" s="2" t="s">
        <v>16</v>
      </c>
      <c r="C804" s="2" t="s">
        <v>76</v>
      </c>
      <c r="D804" s="2" t="s">
        <v>77</v>
      </c>
      <c r="E804" s="2">
        <v>2022</v>
      </c>
      <c r="F804" s="2" t="s">
        <v>1785</v>
      </c>
      <c r="G804" s="2" t="s">
        <v>3095</v>
      </c>
      <c r="H804" s="2" t="s">
        <v>3092</v>
      </c>
      <c r="I804" s="1" t="s">
        <v>14</v>
      </c>
      <c r="J804" s="1" t="s">
        <v>4068</v>
      </c>
      <c r="K804" s="17"/>
      <c r="L804" s="54">
        <v>0.32300000000000001</v>
      </c>
      <c r="M804" s="39"/>
      <c r="N804" s="39"/>
      <c r="O804" s="39">
        <v>899</v>
      </c>
      <c r="P804" s="39"/>
      <c r="Q804" s="39"/>
      <c r="R804" s="39"/>
      <c r="S804" s="39"/>
      <c r="T804" s="39"/>
      <c r="U804" s="39"/>
      <c r="V804" s="39"/>
      <c r="W804" s="60"/>
    </row>
    <row r="805" spans="1:23" s="79" customFormat="1" ht="25.5" x14ac:dyDescent="0.2">
      <c r="A805" s="1" t="s">
        <v>75</v>
      </c>
      <c r="B805" s="2" t="s">
        <v>16</v>
      </c>
      <c r="C805" s="2" t="s">
        <v>76</v>
      </c>
      <c r="D805" s="2" t="s">
        <v>77</v>
      </c>
      <c r="E805" s="2">
        <v>2022</v>
      </c>
      <c r="F805" s="2" t="s">
        <v>1787</v>
      </c>
      <c r="G805" s="2" t="s">
        <v>3095</v>
      </c>
      <c r="H805" s="2" t="s">
        <v>3092</v>
      </c>
      <c r="I805" s="1" t="s">
        <v>14</v>
      </c>
      <c r="J805" s="1" t="s">
        <v>4069</v>
      </c>
      <c r="K805" s="17"/>
      <c r="L805" s="54">
        <v>0.32</v>
      </c>
      <c r="M805" s="39"/>
      <c r="N805" s="39"/>
      <c r="O805" s="39">
        <v>900.8</v>
      </c>
      <c r="P805" s="39"/>
      <c r="Q805" s="39"/>
      <c r="R805" s="39"/>
      <c r="S805" s="39"/>
      <c r="T805" s="39"/>
      <c r="U805" s="39"/>
      <c r="V805" s="39"/>
      <c r="W805" s="60"/>
    </row>
    <row r="806" spans="1:23" s="79" customFormat="1" ht="25.5" x14ac:dyDescent="0.2">
      <c r="A806" s="1" t="s">
        <v>75</v>
      </c>
      <c r="B806" s="2" t="s">
        <v>16</v>
      </c>
      <c r="C806" s="2" t="s">
        <v>76</v>
      </c>
      <c r="D806" s="2" t="s">
        <v>77</v>
      </c>
      <c r="E806" s="2">
        <v>2022</v>
      </c>
      <c r="F806" s="2" t="s">
        <v>1789</v>
      </c>
      <c r="G806" s="2" t="s">
        <v>3095</v>
      </c>
      <c r="H806" s="2" t="s">
        <v>3092</v>
      </c>
      <c r="I806" s="1" t="s">
        <v>14</v>
      </c>
      <c r="J806" s="1" t="s">
        <v>4070</v>
      </c>
      <c r="K806" s="17"/>
      <c r="L806" s="54">
        <v>0.32500000000000001</v>
      </c>
      <c r="M806" s="39"/>
      <c r="N806" s="39"/>
      <c r="O806" s="39">
        <v>845.1</v>
      </c>
      <c r="P806" s="39"/>
      <c r="Q806" s="39"/>
      <c r="R806" s="39"/>
      <c r="S806" s="39"/>
      <c r="T806" s="39"/>
      <c r="U806" s="39"/>
      <c r="V806" s="39"/>
      <c r="W806" s="60"/>
    </row>
    <row r="807" spans="1:23" s="79" customFormat="1" ht="25.5" x14ac:dyDescent="0.2">
      <c r="A807" s="1" t="s">
        <v>75</v>
      </c>
      <c r="B807" s="2" t="s">
        <v>16</v>
      </c>
      <c r="C807" s="2" t="s">
        <v>76</v>
      </c>
      <c r="D807" s="2" t="s">
        <v>77</v>
      </c>
      <c r="E807" s="2">
        <v>2022</v>
      </c>
      <c r="F807" s="2" t="s">
        <v>1791</v>
      </c>
      <c r="G807" s="2" t="s">
        <v>3095</v>
      </c>
      <c r="H807" s="2" t="s">
        <v>3092</v>
      </c>
      <c r="I807" s="1" t="s">
        <v>14</v>
      </c>
      <c r="J807" s="1" t="s">
        <v>4071</v>
      </c>
      <c r="K807" s="17"/>
      <c r="L807" s="54">
        <v>0.32300000000000001</v>
      </c>
      <c r="M807" s="39"/>
      <c r="N807" s="39"/>
      <c r="O807" s="39">
        <v>889.9</v>
      </c>
      <c r="P807" s="39"/>
      <c r="Q807" s="39"/>
      <c r="R807" s="39"/>
      <c r="S807" s="39"/>
      <c r="T807" s="39"/>
      <c r="U807" s="39"/>
      <c r="V807" s="39"/>
      <c r="W807" s="60"/>
    </row>
    <row r="808" spans="1:23" s="79" customFormat="1" ht="25.5" x14ac:dyDescent="0.2">
      <c r="A808" s="1" t="s">
        <v>75</v>
      </c>
      <c r="B808" s="2" t="s">
        <v>16</v>
      </c>
      <c r="C808" s="2" t="s">
        <v>76</v>
      </c>
      <c r="D808" s="2" t="s">
        <v>77</v>
      </c>
      <c r="E808" s="2">
        <v>2022</v>
      </c>
      <c r="F808" s="2" t="s">
        <v>311</v>
      </c>
      <c r="G808" s="2" t="s">
        <v>3095</v>
      </c>
      <c r="H808" s="2" t="s">
        <v>3092</v>
      </c>
      <c r="I808" s="1" t="s">
        <v>14</v>
      </c>
      <c r="J808" s="1" t="s">
        <v>4072</v>
      </c>
      <c r="K808" s="17"/>
      <c r="L808" s="54">
        <v>0.32900000000000001</v>
      </c>
      <c r="M808" s="15"/>
      <c r="N808" s="15"/>
      <c r="O808" s="15">
        <v>924.77</v>
      </c>
      <c r="P808" s="15"/>
      <c r="Q808" s="15"/>
      <c r="R808" s="15"/>
      <c r="S808" s="15"/>
      <c r="T808" s="15"/>
      <c r="U808" s="15"/>
      <c r="V808" s="15"/>
      <c r="W808" s="60"/>
    </row>
    <row r="809" spans="1:23" s="79" customFormat="1" ht="25.5" x14ac:dyDescent="0.2">
      <c r="A809" s="1" t="s">
        <v>75</v>
      </c>
      <c r="B809" s="2" t="s">
        <v>16</v>
      </c>
      <c r="C809" s="2" t="s">
        <v>76</v>
      </c>
      <c r="D809" s="2" t="s">
        <v>77</v>
      </c>
      <c r="E809" s="2">
        <v>2022</v>
      </c>
      <c r="F809" s="2" t="s">
        <v>1794</v>
      </c>
      <c r="G809" s="2" t="s">
        <v>3095</v>
      </c>
      <c r="H809" s="2" t="s">
        <v>3092</v>
      </c>
      <c r="I809" s="1" t="s">
        <v>14</v>
      </c>
      <c r="J809" s="1" t="s">
        <v>4073</v>
      </c>
      <c r="K809" s="17"/>
      <c r="L809" s="54">
        <v>0.308</v>
      </c>
      <c r="M809" s="39"/>
      <c r="N809" s="39"/>
      <c r="O809" s="39">
        <v>915.5</v>
      </c>
      <c r="P809" s="39"/>
      <c r="Q809" s="39"/>
      <c r="R809" s="39"/>
      <c r="S809" s="39"/>
      <c r="T809" s="39"/>
      <c r="U809" s="39"/>
      <c r="V809" s="39"/>
      <c r="W809" s="60"/>
    </row>
    <row r="810" spans="1:23" s="79" customFormat="1" ht="25.5" x14ac:dyDescent="0.2">
      <c r="A810" s="1" t="s">
        <v>75</v>
      </c>
      <c r="B810" s="2" t="s">
        <v>16</v>
      </c>
      <c r="C810" s="2" t="s">
        <v>76</v>
      </c>
      <c r="D810" s="2" t="s">
        <v>77</v>
      </c>
      <c r="E810" s="2">
        <v>2022</v>
      </c>
      <c r="F810" s="2" t="s">
        <v>1796</v>
      </c>
      <c r="G810" s="2" t="s">
        <v>3095</v>
      </c>
      <c r="H810" s="2" t="s">
        <v>3092</v>
      </c>
      <c r="I810" s="1" t="s">
        <v>14</v>
      </c>
      <c r="J810" s="1" t="s">
        <v>4074</v>
      </c>
      <c r="K810" s="17"/>
      <c r="L810" s="54">
        <v>0.29799999999999999</v>
      </c>
      <c r="M810" s="39"/>
      <c r="N810" s="39"/>
      <c r="O810" s="39">
        <v>915.5</v>
      </c>
      <c r="P810" s="39"/>
      <c r="Q810" s="39"/>
      <c r="R810" s="39"/>
      <c r="S810" s="39"/>
      <c r="T810" s="39"/>
      <c r="U810" s="39"/>
      <c r="V810" s="39"/>
      <c r="W810" s="60"/>
    </row>
    <row r="811" spans="1:23" s="79" customFormat="1" ht="25.5" x14ac:dyDescent="0.2">
      <c r="A811" s="1" t="s">
        <v>75</v>
      </c>
      <c r="B811" s="2" t="s">
        <v>16</v>
      </c>
      <c r="C811" s="2" t="s">
        <v>76</v>
      </c>
      <c r="D811" s="2" t="s">
        <v>77</v>
      </c>
      <c r="E811" s="2">
        <v>2022</v>
      </c>
      <c r="F811" s="2" t="s">
        <v>1798</v>
      </c>
      <c r="G811" s="2" t="s">
        <v>3095</v>
      </c>
      <c r="H811" s="2" t="s">
        <v>3092</v>
      </c>
      <c r="I811" s="1" t="s">
        <v>14</v>
      </c>
      <c r="J811" s="1" t="s">
        <v>4075</v>
      </c>
      <c r="K811" s="17"/>
      <c r="L811" s="54">
        <v>0.30499999999999999</v>
      </c>
      <c r="M811" s="39"/>
      <c r="N811" s="39"/>
      <c r="O811" s="39">
        <v>922.4</v>
      </c>
      <c r="P811" s="39"/>
      <c r="Q811" s="39"/>
      <c r="R811" s="39"/>
      <c r="S811" s="39"/>
      <c r="T811" s="39"/>
      <c r="U811" s="39"/>
      <c r="V811" s="39"/>
      <c r="W811" s="60"/>
    </row>
    <row r="812" spans="1:23" s="79" customFormat="1" ht="102" x14ac:dyDescent="0.2">
      <c r="A812" s="1" t="s">
        <v>2799</v>
      </c>
      <c r="B812" s="2" t="s">
        <v>198</v>
      </c>
      <c r="C812" s="2" t="s">
        <v>76</v>
      </c>
      <c r="D812" s="2" t="s">
        <v>77</v>
      </c>
      <c r="E812" s="2">
        <v>2022</v>
      </c>
      <c r="F812" s="2" t="s">
        <v>1794</v>
      </c>
      <c r="G812" s="2" t="s">
        <v>3093</v>
      </c>
      <c r="H812" s="2" t="s">
        <v>3092</v>
      </c>
      <c r="I812" s="1" t="s">
        <v>14</v>
      </c>
      <c r="J812" s="1" t="s">
        <v>4076</v>
      </c>
      <c r="K812" s="17"/>
      <c r="L812" s="54">
        <v>0.18</v>
      </c>
      <c r="M812" s="39"/>
      <c r="N812" s="39"/>
      <c r="O812" s="39">
        <f>504*0.8</f>
        <v>403.20000000000005</v>
      </c>
      <c r="P812" s="39"/>
      <c r="Q812" s="39"/>
      <c r="R812" s="39"/>
      <c r="S812" s="39"/>
      <c r="T812" s="39"/>
      <c r="U812" s="39"/>
      <c r="V812" s="39"/>
      <c r="W812" s="60" t="s">
        <v>1680</v>
      </c>
    </row>
    <row r="813" spans="1:23" s="79" customFormat="1" ht="102" x14ac:dyDescent="0.2">
      <c r="A813" s="1" t="s">
        <v>471</v>
      </c>
      <c r="B813" s="2" t="s">
        <v>196</v>
      </c>
      <c r="C813" s="2" t="s">
        <v>472</v>
      </c>
      <c r="D813" s="2" t="s">
        <v>473</v>
      </c>
      <c r="E813" s="2">
        <v>2022</v>
      </c>
      <c r="F813" s="2" t="s">
        <v>1791</v>
      </c>
      <c r="G813" s="2" t="s">
        <v>3092</v>
      </c>
      <c r="H813" s="2" t="s">
        <v>3092</v>
      </c>
      <c r="I813" s="1" t="s">
        <v>4077</v>
      </c>
      <c r="J813" s="1" t="s">
        <v>4078</v>
      </c>
      <c r="K813" s="17"/>
      <c r="L813" s="54">
        <v>0.25669999999999998</v>
      </c>
      <c r="M813" s="39"/>
      <c r="N813" s="39"/>
      <c r="O813" s="39">
        <f>371/0.2567</f>
        <v>1445.2668484612389</v>
      </c>
      <c r="P813" s="39"/>
      <c r="Q813" s="39"/>
      <c r="R813" s="39"/>
      <c r="S813" s="39"/>
      <c r="T813" s="39"/>
      <c r="U813" s="39"/>
      <c r="V813" s="39"/>
      <c r="W813" s="60" t="s">
        <v>4079</v>
      </c>
    </row>
    <row r="814" spans="1:23" s="79" customFormat="1" ht="63.75" x14ac:dyDescent="0.2">
      <c r="A814" s="1" t="s">
        <v>471</v>
      </c>
      <c r="B814" s="2" t="s">
        <v>196</v>
      </c>
      <c r="C814" s="2" t="s">
        <v>472</v>
      </c>
      <c r="D814" s="2" t="s">
        <v>473</v>
      </c>
      <c r="E814" s="2">
        <v>2022</v>
      </c>
      <c r="F814" s="2" t="s">
        <v>311</v>
      </c>
      <c r="G814" s="2" t="s">
        <v>3092</v>
      </c>
      <c r="H814" s="2" t="s">
        <v>3092</v>
      </c>
      <c r="I814" s="1" t="s">
        <v>4080</v>
      </c>
      <c r="J814" s="1" t="s">
        <v>4081</v>
      </c>
      <c r="K814" s="17"/>
      <c r="L814" s="54">
        <v>0.32250000000000001</v>
      </c>
      <c r="M814" s="39"/>
      <c r="N814" s="39"/>
      <c r="O814" s="39">
        <f>2082/0.3225</f>
        <v>6455.8139534883721</v>
      </c>
      <c r="P814" s="39"/>
      <c r="Q814" s="39"/>
      <c r="R814" s="39"/>
      <c r="S814" s="39"/>
      <c r="T814" s="39"/>
      <c r="U814" s="39"/>
      <c r="V814" s="39"/>
      <c r="W814" s="60" t="s">
        <v>4079</v>
      </c>
    </row>
    <row r="815" spans="1:23" s="79" customFormat="1" ht="140.25" x14ac:dyDescent="0.2">
      <c r="A815" s="1" t="s">
        <v>471</v>
      </c>
      <c r="B815" s="2" t="s">
        <v>196</v>
      </c>
      <c r="C815" s="2" t="s">
        <v>472</v>
      </c>
      <c r="D815" s="2" t="s">
        <v>473</v>
      </c>
      <c r="E815" s="2">
        <v>2022</v>
      </c>
      <c r="F815" s="2" t="s">
        <v>1794</v>
      </c>
      <c r="G815" s="2" t="s">
        <v>3092</v>
      </c>
      <c r="H815" s="2" t="s">
        <v>3092</v>
      </c>
      <c r="I815" s="1" t="s">
        <v>4082</v>
      </c>
      <c r="J815" s="1" t="s">
        <v>4083</v>
      </c>
      <c r="K815" s="17"/>
      <c r="L815" s="54">
        <v>0.38</v>
      </c>
      <c r="M815" s="39"/>
      <c r="N815" s="39"/>
      <c r="O815" s="39">
        <f>(1131/0.3551)+(1862/0.3785)</f>
        <v>8104.4370629591749</v>
      </c>
      <c r="P815" s="39"/>
      <c r="Q815" s="39"/>
      <c r="R815" s="39"/>
      <c r="S815" s="39"/>
      <c r="T815" s="39"/>
      <c r="U815" s="39"/>
      <c r="V815" s="39"/>
      <c r="W815" s="60" t="s">
        <v>4079</v>
      </c>
    </row>
    <row r="816" spans="1:23" s="79" customFormat="1" ht="51" x14ac:dyDescent="0.2">
      <c r="A816" s="1" t="s">
        <v>471</v>
      </c>
      <c r="B816" s="2" t="s">
        <v>196</v>
      </c>
      <c r="C816" s="2" t="s">
        <v>472</v>
      </c>
      <c r="D816" s="2" t="s">
        <v>473</v>
      </c>
      <c r="E816" s="2">
        <v>2022</v>
      </c>
      <c r="F816" s="2" t="s">
        <v>1796</v>
      </c>
      <c r="G816" s="2" t="s">
        <v>3092</v>
      </c>
      <c r="H816" s="2" t="s">
        <v>3092</v>
      </c>
      <c r="I816" s="1" t="s">
        <v>4084</v>
      </c>
      <c r="J816" s="1" t="s">
        <v>4085</v>
      </c>
      <c r="K816" s="17"/>
      <c r="L816" s="54">
        <v>0.4345</v>
      </c>
      <c r="M816" s="39"/>
      <c r="N816" s="39"/>
      <c r="O816" s="39">
        <f>893/0.4345</f>
        <v>2055.235903337169</v>
      </c>
      <c r="P816" s="39"/>
      <c r="Q816" s="39"/>
      <c r="R816" s="39"/>
      <c r="S816" s="39"/>
      <c r="T816" s="39"/>
      <c r="U816" s="39"/>
      <c r="V816" s="39"/>
      <c r="W816" s="60" t="s">
        <v>4079</v>
      </c>
    </row>
    <row r="817" spans="1:23" s="79" customFormat="1" ht="127.5" x14ac:dyDescent="0.2">
      <c r="A817" s="1" t="s">
        <v>754</v>
      </c>
      <c r="B817" s="2" t="s">
        <v>196</v>
      </c>
      <c r="C817" s="2" t="s">
        <v>755</v>
      </c>
      <c r="D817" s="2" t="s">
        <v>3227</v>
      </c>
      <c r="E817" s="2">
        <v>2022</v>
      </c>
      <c r="F817" s="2" t="s">
        <v>1783</v>
      </c>
      <c r="G817" s="2" t="s">
        <v>3092</v>
      </c>
      <c r="H817" s="2" t="s">
        <v>3092</v>
      </c>
      <c r="I817" s="1" t="s">
        <v>4086</v>
      </c>
      <c r="J817" s="1" t="s">
        <v>4087</v>
      </c>
      <c r="K817" s="17"/>
      <c r="L817" s="80">
        <v>0.2175</v>
      </c>
      <c r="M817" s="15"/>
      <c r="N817" s="15"/>
      <c r="O817" s="15">
        <f>173.49/0.077*0.2175</f>
        <v>490.05292207792212</v>
      </c>
      <c r="P817" s="15"/>
      <c r="Q817" s="15"/>
      <c r="R817" s="15"/>
      <c r="S817" s="15"/>
      <c r="T817" s="15"/>
      <c r="U817" s="15"/>
      <c r="V817" s="15"/>
      <c r="W817" s="60" t="s">
        <v>4088</v>
      </c>
    </row>
    <row r="818" spans="1:23" s="79" customFormat="1" ht="267.75" x14ac:dyDescent="0.2">
      <c r="A818" s="1" t="s">
        <v>754</v>
      </c>
      <c r="B818" s="2" t="s">
        <v>196</v>
      </c>
      <c r="C818" s="2" t="s">
        <v>755</v>
      </c>
      <c r="D818" s="2" t="s">
        <v>3227</v>
      </c>
      <c r="E818" s="2">
        <v>2022</v>
      </c>
      <c r="F818" s="2" t="s">
        <v>1785</v>
      </c>
      <c r="G818" s="2" t="s">
        <v>3092</v>
      </c>
      <c r="H818" s="2" t="s">
        <v>3092</v>
      </c>
      <c r="I818" s="1" t="s">
        <v>4089</v>
      </c>
      <c r="J818" s="1" t="s">
        <v>4090</v>
      </c>
      <c r="K818" s="17"/>
      <c r="L818" s="80">
        <v>0.28570000000000001</v>
      </c>
      <c r="M818" s="15"/>
      <c r="N818" s="15"/>
      <c r="O818" s="15">
        <f>430.99/0.085*0.2857</f>
        <v>1448.6334470588235</v>
      </c>
      <c r="P818" s="15"/>
      <c r="Q818" s="15"/>
      <c r="R818" s="15"/>
      <c r="S818" s="15"/>
      <c r="T818" s="15"/>
      <c r="U818" s="15"/>
      <c r="V818" s="15"/>
      <c r="W818" s="60" t="s">
        <v>4091</v>
      </c>
    </row>
    <row r="819" spans="1:23" s="79" customFormat="1" ht="102" x14ac:dyDescent="0.2">
      <c r="A819" s="1" t="s">
        <v>4092</v>
      </c>
      <c r="B819" s="2" t="s">
        <v>196</v>
      </c>
      <c r="C819" s="2" t="s">
        <v>4093</v>
      </c>
      <c r="D819" s="2" t="s">
        <v>336</v>
      </c>
      <c r="E819" s="2">
        <v>2022</v>
      </c>
      <c r="F819" s="2" t="s">
        <v>1794</v>
      </c>
      <c r="G819" s="2" t="s">
        <v>3092</v>
      </c>
      <c r="H819" s="2" t="s">
        <v>3092</v>
      </c>
      <c r="I819" s="1" t="s">
        <v>4094</v>
      </c>
      <c r="J819" s="1" t="s">
        <v>4095</v>
      </c>
      <c r="K819" s="17"/>
      <c r="L819" s="54">
        <v>0.28999999999999998</v>
      </c>
      <c r="M819" s="39"/>
      <c r="N819" s="39"/>
      <c r="O819" s="39">
        <f>(94.65+105.03+31.34)/0.29</f>
        <v>796.62068965517255</v>
      </c>
      <c r="P819" s="39"/>
      <c r="Q819" s="39"/>
      <c r="R819" s="39"/>
      <c r="S819" s="39"/>
      <c r="T819" s="39"/>
      <c r="U819" s="39"/>
      <c r="V819" s="39"/>
      <c r="W819" s="60"/>
    </row>
    <row r="820" spans="1:23" s="79" customFormat="1" ht="76.5" x14ac:dyDescent="0.2">
      <c r="A820" s="1" t="s">
        <v>430</v>
      </c>
      <c r="B820" s="2" t="s">
        <v>431</v>
      </c>
      <c r="C820" s="2" t="s">
        <v>432</v>
      </c>
      <c r="D820" s="2" t="s">
        <v>367</v>
      </c>
      <c r="E820" s="2">
        <v>2022</v>
      </c>
      <c r="F820" s="2" t="s">
        <v>1794</v>
      </c>
      <c r="G820" s="2" t="s">
        <v>3092</v>
      </c>
      <c r="H820" s="2" t="s">
        <v>3092</v>
      </c>
      <c r="I820" s="1" t="s">
        <v>4096</v>
      </c>
      <c r="J820" s="1" t="s">
        <v>4097</v>
      </c>
      <c r="K820" s="17"/>
      <c r="L820" s="54"/>
      <c r="M820" s="39"/>
      <c r="N820" s="39"/>
      <c r="O820" s="39"/>
      <c r="P820" s="39"/>
      <c r="Q820" s="39"/>
      <c r="R820" s="39"/>
      <c r="S820" s="39"/>
      <c r="T820" s="39"/>
      <c r="U820" s="39"/>
      <c r="V820" s="39"/>
      <c r="W820" s="60" t="s">
        <v>4098</v>
      </c>
    </row>
    <row r="821" spans="1:23" s="79" customFormat="1" ht="63.75" x14ac:dyDescent="0.2">
      <c r="A821" s="1" t="s">
        <v>4099</v>
      </c>
      <c r="B821" s="2" t="s">
        <v>301</v>
      </c>
      <c r="C821" s="2" t="s">
        <v>4100</v>
      </c>
      <c r="D821" s="2" t="s">
        <v>197</v>
      </c>
      <c r="E821" s="2">
        <v>2022</v>
      </c>
      <c r="F821" s="2" t="s">
        <v>1787</v>
      </c>
      <c r="G821" s="2" t="s">
        <v>3092</v>
      </c>
      <c r="H821" s="2" t="s">
        <v>3092</v>
      </c>
      <c r="I821" s="1" t="s">
        <v>4101</v>
      </c>
      <c r="J821" s="1" t="s">
        <v>4102</v>
      </c>
      <c r="K821" s="17"/>
      <c r="L821" s="54">
        <v>0.4</v>
      </c>
      <c r="M821" s="39"/>
      <c r="N821" s="39"/>
      <c r="O821" s="39"/>
      <c r="P821" s="39"/>
      <c r="Q821" s="39"/>
      <c r="R821" s="39"/>
      <c r="S821" s="39"/>
      <c r="T821" s="39"/>
      <c r="U821" s="39"/>
      <c r="V821" s="39">
        <f>67*0.8</f>
        <v>53.6</v>
      </c>
      <c r="W821" s="60" t="s">
        <v>1680</v>
      </c>
    </row>
    <row r="822" spans="1:23" s="79" customFormat="1" ht="76.5" x14ac:dyDescent="0.2">
      <c r="A822" s="1" t="s">
        <v>1381</v>
      </c>
      <c r="B822" s="2" t="s">
        <v>196</v>
      </c>
      <c r="C822" s="2" t="s">
        <v>1382</v>
      </c>
      <c r="D822" s="2" t="s">
        <v>187</v>
      </c>
      <c r="E822" s="2">
        <v>2022</v>
      </c>
      <c r="F822" s="2" t="s">
        <v>311</v>
      </c>
      <c r="G822" s="2" t="s">
        <v>3093</v>
      </c>
      <c r="H822" s="2" t="s">
        <v>3092</v>
      </c>
      <c r="I822" s="1" t="s">
        <v>14</v>
      </c>
      <c r="J822" s="1" t="s">
        <v>4103</v>
      </c>
      <c r="K822" s="17"/>
      <c r="L822" s="54">
        <v>0.32</v>
      </c>
      <c r="M822" s="39"/>
      <c r="N822" s="39"/>
      <c r="O822" s="39">
        <v>500</v>
      </c>
      <c r="P822" s="39"/>
      <c r="Q822" s="39"/>
      <c r="R822" s="39"/>
      <c r="S822" s="39"/>
      <c r="T822" s="39"/>
      <c r="U822" s="39"/>
      <c r="V822" s="39"/>
      <c r="W822" s="60"/>
    </row>
    <row r="823" spans="1:23" s="79" customFormat="1" ht="25.5" x14ac:dyDescent="0.2">
      <c r="A823" s="1" t="s">
        <v>250</v>
      </c>
      <c r="B823" s="2" t="s">
        <v>213</v>
      </c>
      <c r="C823" s="2" t="s">
        <v>251</v>
      </c>
      <c r="D823" s="2" t="s">
        <v>239</v>
      </c>
      <c r="E823" s="2">
        <v>2022</v>
      </c>
      <c r="F823" s="2" t="s">
        <v>1789</v>
      </c>
      <c r="G823" s="2" t="s">
        <v>3092</v>
      </c>
      <c r="H823" s="2" t="s">
        <v>3092</v>
      </c>
      <c r="I823" s="1" t="s">
        <v>4104</v>
      </c>
      <c r="J823" s="1" t="s">
        <v>4105</v>
      </c>
      <c r="K823" s="17"/>
      <c r="L823" s="54" t="s">
        <v>1670</v>
      </c>
      <c r="M823" s="39"/>
      <c r="N823" s="39"/>
      <c r="O823" s="39"/>
      <c r="P823" s="39"/>
      <c r="Q823" s="39"/>
      <c r="R823" s="39"/>
      <c r="S823" s="39"/>
      <c r="T823" s="39"/>
      <c r="U823" s="39"/>
      <c r="V823" s="39">
        <v>91.67</v>
      </c>
      <c r="W823" s="60" t="s">
        <v>3304</v>
      </c>
    </row>
    <row r="824" spans="1:23" s="79" customFormat="1" ht="63.75" x14ac:dyDescent="0.2">
      <c r="A824" s="1" t="s">
        <v>2836</v>
      </c>
      <c r="B824" s="2" t="s">
        <v>198</v>
      </c>
      <c r="C824" s="2" t="s">
        <v>2837</v>
      </c>
      <c r="D824" s="2" t="s">
        <v>305</v>
      </c>
      <c r="E824" s="2">
        <v>2022</v>
      </c>
      <c r="F824" s="2" t="s">
        <v>311</v>
      </c>
      <c r="G824" s="2" t="s">
        <v>3092</v>
      </c>
      <c r="H824" s="2" t="s">
        <v>3092</v>
      </c>
      <c r="I824" s="1" t="s">
        <v>4106</v>
      </c>
      <c r="J824" s="1" t="s">
        <v>4107</v>
      </c>
      <c r="K824" s="17"/>
      <c r="L824" s="54">
        <v>0.03</v>
      </c>
      <c r="M824" s="39"/>
      <c r="N824" s="39"/>
      <c r="O824" s="39">
        <v>820</v>
      </c>
      <c r="P824" s="39"/>
      <c r="Q824" s="39"/>
      <c r="R824" s="39"/>
      <c r="S824" s="39"/>
      <c r="T824" s="39"/>
      <c r="U824" s="39"/>
      <c r="V824" s="39"/>
      <c r="W824" s="60" t="s">
        <v>1699</v>
      </c>
    </row>
    <row r="825" spans="1:23" s="79" customFormat="1" ht="89.25" x14ac:dyDescent="0.2">
      <c r="A825" s="1" t="s">
        <v>2841</v>
      </c>
      <c r="B825" s="2" t="s">
        <v>196</v>
      </c>
      <c r="C825" s="2" t="s">
        <v>2842</v>
      </c>
      <c r="D825" s="2" t="s">
        <v>239</v>
      </c>
      <c r="E825" s="2">
        <v>2022</v>
      </c>
      <c r="F825" s="2" t="s">
        <v>1791</v>
      </c>
      <c r="G825" s="2" t="s">
        <v>3092</v>
      </c>
      <c r="H825" s="2" t="s">
        <v>3093</v>
      </c>
      <c r="I825" s="1" t="s">
        <v>4108</v>
      </c>
      <c r="J825" s="1" t="s">
        <v>14</v>
      </c>
      <c r="K825" s="17"/>
      <c r="L825" s="54"/>
      <c r="M825" s="39"/>
      <c r="N825" s="39"/>
      <c r="O825" s="39"/>
      <c r="P825" s="39"/>
      <c r="Q825" s="39"/>
      <c r="R825" s="39"/>
      <c r="S825" s="39"/>
      <c r="T825" s="39"/>
      <c r="U825" s="39"/>
      <c r="V825" s="39"/>
      <c r="W825" s="60" t="s">
        <v>1706</v>
      </c>
    </row>
    <row r="826" spans="1:23" s="79" customFormat="1" ht="51" x14ac:dyDescent="0.2">
      <c r="A826" s="1" t="s">
        <v>1339</v>
      </c>
      <c r="B826" s="2" t="s">
        <v>213</v>
      </c>
      <c r="C826" s="2" t="s">
        <v>1340</v>
      </c>
      <c r="D826" s="2" t="s">
        <v>88</v>
      </c>
      <c r="E826" s="2">
        <v>2022</v>
      </c>
      <c r="F826" s="2" t="s">
        <v>1787</v>
      </c>
      <c r="G826" s="2" t="s">
        <v>3095</v>
      </c>
      <c r="H826" s="2" t="s">
        <v>3092</v>
      </c>
      <c r="I826" s="1" t="s">
        <v>14</v>
      </c>
      <c r="J826" s="1" t="s">
        <v>4109</v>
      </c>
      <c r="K826" s="17"/>
      <c r="L826" s="54"/>
      <c r="M826" s="39"/>
      <c r="N826" s="39"/>
      <c r="O826" s="39"/>
      <c r="P826" s="39"/>
      <c r="Q826" s="39"/>
      <c r="R826" s="39"/>
      <c r="S826" s="39"/>
      <c r="T826" s="39"/>
      <c r="U826" s="39"/>
      <c r="V826" s="39"/>
      <c r="W826" s="60" t="s">
        <v>4098</v>
      </c>
    </row>
    <row r="827" spans="1:23" s="79" customFormat="1" ht="51" x14ac:dyDescent="0.2">
      <c r="A827" s="1" t="s">
        <v>1339</v>
      </c>
      <c r="B827" s="2" t="s">
        <v>213</v>
      </c>
      <c r="C827" s="2" t="s">
        <v>1340</v>
      </c>
      <c r="D827" s="2" t="s">
        <v>88</v>
      </c>
      <c r="E827" s="2">
        <v>2022</v>
      </c>
      <c r="F827" s="2" t="s">
        <v>1791</v>
      </c>
      <c r="G827" s="2" t="s">
        <v>3095</v>
      </c>
      <c r="H827" s="2" t="s">
        <v>3092</v>
      </c>
      <c r="I827" s="1" t="s">
        <v>14</v>
      </c>
      <c r="J827" s="1" t="s">
        <v>4110</v>
      </c>
      <c r="K827" s="17"/>
      <c r="L827" s="54"/>
      <c r="M827" s="39"/>
      <c r="N827" s="39"/>
      <c r="O827" s="39"/>
      <c r="P827" s="39"/>
      <c r="Q827" s="39"/>
      <c r="R827" s="39"/>
      <c r="S827" s="39"/>
      <c r="T827" s="39"/>
      <c r="U827" s="39"/>
      <c r="V827" s="39"/>
      <c r="W827" s="60" t="s">
        <v>4098</v>
      </c>
    </row>
    <row r="828" spans="1:23" s="79" customFormat="1" ht="25.5" x14ac:dyDescent="0.2">
      <c r="A828" s="1" t="s">
        <v>1339</v>
      </c>
      <c r="B828" s="2" t="s">
        <v>213</v>
      </c>
      <c r="C828" s="2" t="s">
        <v>1340</v>
      </c>
      <c r="D828" s="2" t="s">
        <v>88</v>
      </c>
      <c r="E828" s="2">
        <v>2022</v>
      </c>
      <c r="F828" s="2" t="s">
        <v>1794</v>
      </c>
      <c r="G828" s="2" t="s">
        <v>3095</v>
      </c>
      <c r="H828" s="2" t="s">
        <v>3092</v>
      </c>
      <c r="I828" s="1" t="s">
        <v>14</v>
      </c>
      <c r="J828" s="1" t="s">
        <v>4111</v>
      </c>
      <c r="K828" s="17"/>
      <c r="L828" s="54"/>
      <c r="M828" s="39"/>
      <c r="N828" s="39"/>
      <c r="O828" s="39"/>
      <c r="P828" s="39"/>
      <c r="Q828" s="39"/>
      <c r="R828" s="39"/>
      <c r="S828" s="39"/>
      <c r="T828" s="39"/>
      <c r="U828" s="39"/>
      <c r="V828" s="39"/>
      <c r="W828" s="60" t="s">
        <v>4112</v>
      </c>
    </row>
    <row r="829" spans="1:23" s="79" customFormat="1" ht="25.5" x14ac:dyDescent="0.2">
      <c r="A829" s="1" t="s">
        <v>1415</v>
      </c>
      <c r="B829" s="2" t="s">
        <v>232</v>
      </c>
      <c r="C829" s="2" t="s">
        <v>1416</v>
      </c>
      <c r="D829" s="2" t="s">
        <v>1417</v>
      </c>
      <c r="E829" s="2">
        <v>2022</v>
      </c>
      <c r="F829" s="2" t="s">
        <v>311</v>
      </c>
      <c r="G829" s="2" t="s">
        <v>3092</v>
      </c>
      <c r="H829" s="2" t="s">
        <v>3092</v>
      </c>
      <c r="I829" s="1" t="s">
        <v>4113</v>
      </c>
      <c r="J829" s="1" t="s">
        <v>4114</v>
      </c>
      <c r="K829" s="17"/>
      <c r="L829" s="54" t="s">
        <v>1670</v>
      </c>
      <c r="M829" s="39"/>
      <c r="N829" s="39"/>
      <c r="O829" s="39"/>
      <c r="P829" s="39"/>
      <c r="Q829" s="39"/>
      <c r="R829" s="39"/>
      <c r="S829" s="39"/>
      <c r="T829" s="39"/>
      <c r="U829" s="39"/>
      <c r="V829" s="39">
        <v>14.6</v>
      </c>
      <c r="W829" s="60" t="s">
        <v>3304</v>
      </c>
    </row>
    <row r="830" spans="1:23" s="79" customFormat="1" ht="51" x14ac:dyDescent="0.2">
      <c r="A830" s="1" t="s">
        <v>1206</v>
      </c>
      <c r="B830" s="2" t="s">
        <v>1207</v>
      </c>
      <c r="C830" s="2" t="s">
        <v>1208</v>
      </c>
      <c r="D830" s="2" t="s">
        <v>3227</v>
      </c>
      <c r="E830" s="2">
        <v>2022</v>
      </c>
      <c r="F830" s="2" t="s">
        <v>1791</v>
      </c>
      <c r="G830" s="2" t="s">
        <v>3092</v>
      </c>
      <c r="H830" s="2" t="s">
        <v>3092</v>
      </c>
      <c r="I830" s="1" t="s">
        <v>4115</v>
      </c>
      <c r="J830" s="1" t="s">
        <v>4116</v>
      </c>
      <c r="K830" s="17"/>
      <c r="L830" s="54"/>
      <c r="M830" s="39"/>
      <c r="N830" s="39"/>
      <c r="O830" s="39"/>
      <c r="P830" s="39"/>
      <c r="Q830" s="39"/>
      <c r="R830" s="39"/>
      <c r="S830" s="39"/>
      <c r="T830" s="39"/>
      <c r="U830" s="39"/>
      <c r="V830" s="39"/>
      <c r="W830" s="60" t="s">
        <v>4112</v>
      </c>
    </row>
    <row r="831" spans="1:23" s="79" customFormat="1" ht="38.25" x14ac:dyDescent="0.2">
      <c r="A831" s="1" t="s">
        <v>433</v>
      </c>
      <c r="B831" s="2" t="s">
        <v>301</v>
      </c>
      <c r="C831" s="2" t="s">
        <v>434</v>
      </c>
      <c r="D831" s="2" t="s">
        <v>346</v>
      </c>
      <c r="E831" s="2">
        <v>2022</v>
      </c>
      <c r="F831" s="2" t="s">
        <v>1794</v>
      </c>
      <c r="G831" s="2" t="s">
        <v>3092</v>
      </c>
      <c r="H831" s="2" t="s">
        <v>3092</v>
      </c>
      <c r="I831" s="1" t="s">
        <v>4117</v>
      </c>
      <c r="J831" s="1" t="s">
        <v>4118</v>
      </c>
      <c r="K831" s="17"/>
      <c r="L831" s="54" t="s">
        <v>1670</v>
      </c>
      <c r="M831" s="39"/>
      <c r="N831" s="39"/>
      <c r="O831" s="39"/>
      <c r="P831" s="39"/>
      <c r="Q831" s="39"/>
      <c r="R831" s="39"/>
      <c r="S831" s="39"/>
      <c r="T831" s="39"/>
      <c r="U831" s="39"/>
      <c r="V831" s="39">
        <v>80.099999999999994</v>
      </c>
      <c r="W831" s="60" t="s">
        <v>3304</v>
      </c>
    </row>
    <row r="832" spans="1:23" s="79" customFormat="1" ht="25.5" x14ac:dyDescent="0.2">
      <c r="A832" s="1" t="s">
        <v>433</v>
      </c>
      <c r="B832" s="2" t="s">
        <v>301</v>
      </c>
      <c r="C832" s="2" t="s">
        <v>434</v>
      </c>
      <c r="D832" s="2" t="s">
        <v>346</v>
      </c>
      <c r="E832" s="2">
        <v>2022</v>
      </c>
      <c r="F832" s="2" t="s">
        <v>1796</v>
      </c>
      <c r="G832" s="2" t="s">
        <v>3092</v>
      </c>
      <c r="H832" s="2" t="s">
        <v>3093</v>
      </c>
      <c r="I832" s="1" t="s">
        <v>4119</v>
      </c>
      <c r="J832" s="1" t="s">
        <v>14</v>
      </c>
      <c r="K832" s="17"/>
      <c r="L832" s="54"/>
      <c r="M832" s="39"/>
      <c r="N832" s="39"/>
      <c r="O832" s="39"/>
      <c r="P832" s="39"/>
      <c r="Q832" s="39"/>
      <c r="R832" s="39"/>
      <c r="S832" s="39"/>
      <c r="T832" s="39"/>
      <c r="U832" s="39"/>
      <c r="V832" s="39"/>
      <c r="W832" s="60" t="s">
        <v>4120</v>
      </c>
    </row>
    <row r="833" spans="1:23" s="79" customFormat="1" ht="114.75" x14ac:dyDescent="0.2">
      <c r="A833" s="1" t="s">
        <v>4121</v>
      </c>
      <c r="B833" s="2" t="s">
        <v>196</v>
      </c>
      <c r="C833" s="2" t="s">
        <v>4122</v>
      </c>
      <c r="D833" s="2" t="s">
        <v>192</v>
      </c>
      <c r="E833" s="2">
        <v>2022</v>
      </c>
      <c r="F833" s="2" t="s">
        <v>311</v>
      </c>
      <c r="G833" s="2" t="s">
        <v>3092</v>
      </c>
      <c r="H833" s="2" t="s">
        <v>3092</v>
      </c>
      <c r="I833" s="1" t="s">
        <v>4123</v>
      </c>
      <c r="J833" s="1" t="s">
        <v>4124</v>
      </c>
      <c r="K833" s="17"/>
      <c r="L833" s="54">
        <v>4.4999999999999998E-2</v>
      </c>
      <c r="M833" s="39"/>
      <c r="N833" s="39"/>
      <c r="O833" s="39">
        <v>1080</v>
      </c>
      <c r="P833" s="39"/>
      <c r="Q833" s="39"/>
      <c r="R833" s="39"/>
      <c r="S833" s="39"/>
      <c r="T833" s="39"/>
      <c r="U833" s="39"/>
      <c r="V833" s="39"/>
      <c r="W833" s="60" t="s">
        <v>1699</v>
      </c>
    </row>
    <row r="834" spans="1:23" s="79" customFormat="1" ht="25.5" x14ac:dyDescent="0.2">
      <c r="A834" s="1" t="s">
        <v>37</v>
      </c>
      <c r="B834" s="2" t="s">
        <v>38</v>
      </c>
      <c r="C834" s="2" t="s">
        <v>39</v>
      </c>
      <c r="D834" s="2" t="s">
        <v>40</v>
      </c>
      <c r="E834" s="2">
        <v>2022</v>
      </c>
      <c r="F834" s="2" t="s">
        <v>1776</v>
      </c>
      <c r="G834" s="2" t="s">
        <v>3095</v>
      </c>
      <c r="H834" s="2" t="s">
        <v>3092</v>
      </c>
      <c r="I834" s="1" t="s">
        <v>14</v>
      </c>
      <c r="J834" s="1" t="s">
        <v>4125</v>
      </c>
      <c r="K834" s="17"/>
      <c r="L834" s="54" t="s">
        <v>1670</v>
      </c>
      <c r="M834" s="39"/>
      <c r="N834" s="39"/>
      <c r="O834" s="39">
        <v>1023.5</v>
      </c>
      <c r="P834" s="39"/>
      <c r="Q834" s="39"/>
      <c r="R834" s="39"/>
      <c r="S834" s="39"/>
      <c r="T834" s="39"/>
      <c r="U834" s="39"/>
      <c r="V834" s="39"/>
      <c r="W834" s="60" t="s">
        <v>1681</v>
      </c>
    </row>
    <row r="835" spans="1:23" s="79" customFormat="1" ht="25.5" x14ac:dyDescent="0.2">
      <c r="A835" s="1" t="s">
        <v>37</v>
      </c>
      <c r="B835" s="2" t="s">
        <v>38</v>
      </c>
      <c r="C835" s="2" t="s">
        <v>39</v>
      </c>
      <c r="D835" s="2" t="s">
        <v>40</v>
      </c>
      <c r="E835" s="2">
        <v>2022</v>
      </c>
      <c r="F835" s="2" t="s">
        <v>1779</v>
      </c>
      <c r="G835" s="2" t="s">
        <v>3095</v>
      </c>
      <c r="H835" s="2" t="s">
        <v>3092</v>
      </c>
      <c r="I835" s="1" t="s">
        <v>14</v>
      </c>
      <c r="J835" s="1" t="s">
        <v>4126</v>
      </c>
      <c r="K835" s="17"/>
      <c r="L835" s="54" t="s">
        <v>1670</v>
      </c>
      <c r="M835" s="39"/>
      <c r="N835" s="39"/>
      <c r="O835" s="39">
        <v>1572</v>
      </c>
      <c r="P835" s="39"/>
      <c r="Q835" s="39"/>
      <c r="R835" s="39"/>
      <c r="S835" s="39"/>
      <c r="T835" s="39"/>
      <c r="U835" s="39"/>
      <c r="V835" s="39"/>
      <c r="W835" s="60" t="s">
        <v>1681</v>
      </c>
    </row>
    <row r="836" spans="1:23" s="79" customFormat="1" ht="25.5" x14ac:dyDescent="0.2">
      <c r="A836" s="1" t="s">
        <v>37</v>
      </c>
      <c r="B836" s="2" t="s">
        <v>38</v>
      </c>
      <c r="C836" s="2" t="s">
        <v>39</v>
      </c>
      <c r="D836" s="2" t="s">
        <v>40</v>
      </c>
      <c r="E836" s="2">
        <v>2022</v>
      </c>
      <c r="F836" s="2" t="s">
        <v>1781</v>
      </c>
      <c r="G836" s="2" t="s">
        <v>3095</v>
      </c>
      <c r="H836" s="2" t="s">
        <v>3092</v>
      </c>
      <c r="I836" s="1" t="s">
        <v>14</v>
      </c>
      <c r="J836" s="1" t="s">
        <v>4127</v>
      </c>
      <c r="K836" s="17"/>
      <c r="L836" s="54" t="s">
        <v>1670</v>
      </c>
      <c r="M836" s="39"/>
      <c r="N836" s="39"/>
      <c r="O836" s="39">
        <v>1371</v>
      </c>
      <c r="P836" s="39"/>
      <c r="Q836" s="39"/>
      <c r="R836" s="39"/>
      <c r="S836" s="39"/>
      <c r="T836" s="39"/>
      <c r="U836" s="39"/>
      <c r="V836" s="39"/>
      <c r="W836" s="60" t="s">
        <v>1681</v>
      </c>
    </row>
    <row r="837" spans="1:23" s="79" customFormat="1" ht="25.5" x14ac:dyDescent="0.2">
      <c r="A837" s="1" t="s">
        <v>37</v>
      </c>
      <c r="B837" s="2" t="s">
        <v>38</v>
      </c>
      <c r="C837" s="2" t="s">
        <v>39</v>
      </c>
      <c r="D837" s="2" t="s">
        <v>40</v>
      </c>
      <c r="E837" s="2">
        <v>2022</v>
      </c>
      <c r="F837" s="2" t="s">
        <v>1783</v>
      </c>
      <c r="G837" s="2" t="s">
        <v>3095</v>
      </c>
      <c r="H837" s="2" t="s">
        <v>3092</v>
      </c>
      <c r="I837" s="1" t="s">
        <v>14</v>
      </c>
      <c r="J837" s="1" t="s">
        <v>4128</v>
      </c>
      <c r="K837" s="17"/>
      <c r="L837" s="54" t="s">
        <v>1670</v>
      </c>
      <c r="M837" s="39"/>
      <c r="N837" s="39"/>
      <c r="O837" s="39">
        <v>1000</v>
      </c>
      <c r="P837" s="39"/>
      <c r="Q837" s="39"/>
      <c r="R837" s="39"/>
      <c r="S837" s="39"/>
      <c r="T837" s="39"/>
      <c r="U837" s="39"/>
      <c r="V837" s="39"/>
      <c r="W837" s="60" t="s">
        <v>1681</v>
      </c>
    </row>
    <row r="838" spans="1:23" s="79" customFormat="1" ht="25.5" x14ac:dyDescent="0.2">
      <c r="A838" s="1" t="s">
        <v>37</v>
      </c>
      <c r="B838" s="2" t="s">
        <v>38</v>
      </c>
      <c r="C838" s="2" t="s">
        <v>39</v>
      </c>
      <c r="D838" s="2" t="s">
        <v>40</v>
      </c>
      <c r="E838" s="2">
        <v>2022</v>
      </c>
      <c r="F838" s="2" t="s">
        <v>1785</v>
      </c>
      <c r="G838" s="2" t="s">
        <v>3095</v>
      </c>
      <c r="H838" s="2" t="s">
        <v>3092</v>
      </c>
      <c r="I838" s="1" t="s">
        <v>14</v>
      </c>
      <c r="J838" s="1" t="s">
        <v>4129</v>
      </c>
      <c r="K838" s="17"/>
      <c r="L838" s="54" t="s">
        <v>1670</v>
      </c>
      <c r="M838" s="39"/>
      <c r="N838" s="39"/>
      <c r="O838" s="39">
        <v>1033</v>
      </c>
      <c r="P838" s="39"/>
      <c r="Q838" s="39"/>
      <c r="R838" s="39"/>
      <c r="S838" s="39"/>
      <c r="T838" s="39"/>
      <c r="U838" s="39"/>
      <c r="V838" s="39"/>
      <c r="W838" s="60" t="s">
        <v>1681</v>
      </c>
    </row>
    <row r="839" spans="1:23" s="79" customFormat="1" ht="25.5" x14ac:dyDescent="0.2">
      <c r="A839" s="1" t="s">
        <v>37</v>
      </c>
      <c r="B839" s="2" t="s">
        <v>38</v>
      </c>
      <c r="C839" s="2" t="s">
        <v>39</v>
      </c>
      <c r="D839" s="2" t="s">
        <v>40</v>
      </c>
      <c r="E839" s="2">
        <v>2022</v>
      </c>
      <c r="F839" s="2" t="s">
        <v>1787</v>
      </c>
      <c r="G839" s="2" t="s">
        <v>3095</v>
      </c>
      <c r="H839" s="2" t="s">
        <v>3092</v>
      </c>
      <c r="I839" s="1" t="s">
        <v>14</v>
      </c>
      <c r="J839" s="1" t="s">
        <v>4130</v>
      </c>
      <c r="K839" s="17"/>
      <c r="L839" s="54" t="s">
        <v>1670</v>
      </c>
      <c r="M839" s="39"/>
      <c r="N839" s="39"/>
      <c r="O839" s="39">
        <v>986</v>
      </c>
      <c r="P839" s="39"/>
      <c r="Q839" s="39"/>
      <c r="R839" s="39"/>
      <c r="S839" s="39"/>
      <c r="T839" s="39"/>
      <c r="U839" s="39"/>
      <c r="V839" s="39"/>
      <c r="W839" s="60" t="s">
        <v>1681</v>
      </c>
    </row>
    <row r="840" spans="1:23" s="79" customFormat="1" ht="25.5" x14ac:dyDescent="0.2">
      <c r="A840" s="1" t="s">
        <v>37</v>
      </c>
      <c r="B840" s="2" t="s">
        <v>38</v>
      </c>
      <c r="C840" s="2" t="s">
        <v>39</v>
      </c>
      <c r="D840" s="2" t="s">
        <v>40</v>
      </c>
      <c r="E840" s="2">
        <v>2022</v>
      </c>
      <c r="F840" s="2" t="s">
        <v>1789</v>
      </c>
      <c r="G840" s="2" t="s">
        <v>3095</v>
      </c>
      <c r="H840" s="2" t="s">
        <v>3092</v>
      </c>
      <c r="I840" s="1" t="s">
        <v>14</v>
      </c>
      <c r="J840" s="1" t="s">
        <v>4131</v>
      </c>
      <c r="K840" s="17"/>
      <c r="L840" s="54" t="s">
        <v>1670</v>
      </c>
      <c r="M840" s="39"/>
      <c r="N840" s="39"/>
      <c r="O840" s="39">
        <v>1468</v>
      </c>
      <c r="P840" s="39"/>
      <c r="Q840" s="39"/>
      <c r="R840" s="39"/>
      <c r="S840" s="39"/>
      <c r="T840" s="39"/>
      <c r="U840" s="39"/>
      <c r="V840" s="39"/>
      <c r="W840" s="60" t="s">
        <v>1681</v>
      </c>
    </row>
    <row r="841" spans="1:23" s="79" customFormat="1" ht="25.5" x14ac:dyDescent="0.2">
      <c r="A841" s="1" t="s">
        <v>37</v>
      </c>
      <c r="B841" s="2" t="s">
        <v>38</v>
      </c>
      <c r="C841" s="2" t="s">
        <v>39</v>
      </c>
      <c r="D841" s="2" t="s">
        <v>40</v>
      </c>
      <c r="E841" s="2">
        <v>2022</v>
      </c>
      <c r="F841" s="2" t="s">
        <v>1791</v>
      </c>
      <c r="G841" s="2" t="s">
        <v>3095</v>
      </c>
      <c r="H841" s="2" t="s">
        <v>3092</v>
      </c>
      <c r="I841" s="1" t="s">
        <v>14</v>
      </c>
      <c r="J841" s="1" t="s">
        <v>4132</v>
      </c>
      <c r="K841" s="17"/>
      <c r="L841" s="54" t="s">
        <v>1670</v>
      </c>
      <c r="M841" s="39"/>
      <c r="N841" s="39"/>
      <c r="O841" s="39">
        <v>1091</v>
      </c>
      <c r="P841" s="39"/>
      <c r="Q841" s="39"/>
      <c r="R841" s="39"/>
      <c r="S841" s="39"/>
      <c r="T841" s="39"/>
      <c r="U841" s="39"/>
      <c r="V841" s="39"/>
      <c r="W841" s="60"/>
    </row>
    <row r="842" spans="1:23" s="79" customFormat="1" ht="25.5" x14ac:dyDescent="0.2">
      <c r="A842" s="1" t="s">
        <v>37</v>
      </c>
      <c r="B842" s="2" t="s">
        <v>38</v>
      </c>
      <c r="C842" s="2" t="s">
        <v>39</v>
      </c>
      <c r="D842" s="2" t="s">
        <v>40</v>
      </c>
      <c r="E842" s="2">
        <v>2022</v>
      </c>
      <c r="F842" s="2" t="s">
        <v>311</v>
      </c>
      <c r="G842" s="2" t="s">
        <v>3095</v>
      </c>
      <c r="H842" s="2" t="s">
        <v>3092</v>
      </c>
      <c r="I842" s="1" t="s">
        <v>14</v>
      </c>
      <c r="J842" s="1" t="s">
        <v>4133</v>
      </c>
      <c r="K842" s="17"/>
      <c r="L842" s="54" t="s">
        <v>1670</v>
      </c>
      <c r="M842" s="39"/>
      <c r="N842" s="39"/>
      <c r="O842" s="39">
        <v>906.35</v>
      </c>
      <c r="P842" s="39"/>
      <c r="Q842" s="39"/>
      <c r="R842" s="39"/>
      <c r="S842" s="39"/>
      <c r="T842" s="39"/>
      <c r="U842" s="39"/>
      <c r="V842" s="39"/>
      <c r="W842" s="60" t="s">
        <v>1681</v>
      </c>
    </row>
    <row r="843" spans="1:23" s="79" customFormat="1" ht="25.5" x14ac:dyDescent="0.2">
      <c r="A843" s="1" t="s">
        <v>37</v>
      </c>
      <c r="B843" s="2" t="s">
        <v>38</v>
      </c>
      <c r="C843" s="2" t="s">
        <v>39</v>
      </c>
      <c r="D843" s="2" t="s">
        <v>40</v>
      </c>
      <c r="E843" s="2">
        <v>2022</v>
      </c>
      <c r="F843" s="2" t="s">
        <v>1794</v>
      </c>
      <c r="G843" s="2" t="s">
        <v>3095</v>
      </c>
      <c r="H843" s="2" t="s">
        <v>3092</v>
      </c>
      <c r="I843" s="1" t="s">
        <v>14</v>
      </c>
      <c r="J843" s="1" t="s">
        <v>4134</v>
      </c>
      <c r="K843" s="17"/>
      <c r="L843" s="54" t="s">
        <v>1670</v>
      </c>
      <c r="M843" s="39"/>
      <c r="N843" s="39"/>
      <c r="O843" s="39">
        <v>877.52</v>
      </c>
      <c r="P843" s="39"/>
      <c r="Q843" s="39"/>
      <c r="R843" s="39"/>
      <c r="S843" s="39"/>
      <c r="T843" s="39"/>
      <c r="U843" s="39"/>
      <c r="V843" s="39"/>
      <c r="W843" s="60" t="s">
        <v>1681</v>
      </c>
    </row>
    <row r="844" spans="1:23" s="79" customFormat="1" ht="25.5" x14ac:dyDescent="0.2">
      <c r="A844" s="1" t="s">
        <v>37</v>
      </c>
      <c r="B844" s="2" t="s">
        <v>38</v>
      </c>
      <c r="C844" s="2" t="s">
        <v>39</v>
      </c>
      <c r="D844" s="2" t="s">
        <v>40</v>
      </c>
      <c r="E844" s="2">
        <v>2022</v>
      </c>
      <c r="F844" s="2" t="s">
        <v>1796</v>
      </c>
      <c r="G844" s="2" t="s">
        <v>3095</v>
      </c>
      <c r="H844" s="2" t="s">
        <v>3092</v>
      </c>
      <c r="I844" s="1" t="s">
        <v>14</v>
      </c>
      <c r="J844" s="1" t="s">
        <v>4135</v>
      </c>
      <c r="K844" s="17"/>
      <c r="L844" s="54" t="s">
        <v>1670</v>
      </c>
      <c r="M844" s="39"/>
      <c r="N844" s="39"/>
      <c r="O844" s="39">
        <v>670</v>
      </c>
      <c r="P844" s="39"/>
      <c r="Q844" s="39"/>
      <c r="R844" s="39"/>
      <c r="S844" s="39"/>
      <c r="T844" s="39"/>
      <c r="U844" s="39"/>
      <c r="V844" s="39"/>
      <c r="W844" s="60" t="s">
        <v>1681</v>
      </c>
    </row>
    <row r="845" spans="1:23" s="79" customFormat="1" ht="25.5" x14ac:dyDescent="0.2">
      <c r="A845" s="1" t="s">
        <v>37</v>
      </c>
      <c r="B845" s="2" t="s">
        <v>38</v>
      </c>
      <c r="C845" s="2" t="s">
        <v>39</v>
      </c>
      <c r="D845" s="2" t="s">
        <v>40</v>
      </c>
      <c r="E845" s="2">
        <v>2022</v>
      </c>
      <c r="F845" s="2" t="s">
        <v>1798</v>
      </c>
      <c r="G845" s="2" t="s">
        <v>3095</v>
      </c>
      <c r="H845" s="2" t="s">
        <v>3092</v>
      </c>
      <c r="I845" s="1" t="s">
        <v>14</v>
      </c>
      <c r="J845" s="1" t="s">
        <v>4136</v>
      </c>
      <c r="K845" s="17"/>
      <c r="L845" s="54" t="s">
        <v>1670</v>
      </c>
      <c r="M845" s="39"/>
      <c r="N845" s="39"/>
      <c r="O845" s="39">
        <v>509.6</v>
      </c>
      <c r="P845" s="39"/>
      <c r="Q845" s="39"/>
      <c r="R845" s="39"/>
      <c r="S845" s="39"/>
      <c r="T845" s="39"/>
      <c r="U845" s="39"/>
      <c r="V845" s="39"/>
      <c r="W845" s="60" t="s">
        <v>1681</v>
      </c>
    </row>
    <row r="846" spans="1:23" s="79" customFormat="1" ht="63.75" x14ac:dyDescent="0.2">
      <c r="A846" s="1" t="s">
        <v>4137</v>
      </c>
      <c r="B846" s="2" t="s">
        <v>196</v>
      </c>
      <c r="C846" s="2" t="s">
        <v>4138</v>
      </c>
      <c r="D846" s="2" t="s">
        <v>1077</v>
      </c>
      <c r="E846" s="2">
        <v>2022</v>
      </c>
      <c r="F846" s="2" t="s">
        <v>1796</v>
      </c>
      <c r="G846" s="2" t="s">
        <v>3092</v>
      </c>
      <c r="H846" s="2" t="s">
        <v>3092</v>
      </c>
      <c r="I846" s="1" t="s">
        <v>4139</v>
      </c>
      <c r="J846" s="1" t="s">
        <v>4140</v>
      </c>
      <c r="K846" s="17"/>
      <c r="L846" s="54"/>
      <c r="M846" s="39"/>
      <c r="N846" s="39"/>
      <c r="O846" s="39"/>
      <c r="P846" s="39"/>
      <c r="Q846" s="39"/>
      <c r="R846" s="39"/>
      <c r="S846" s="39"/>
      <c r="T846" s="39"/>
      <c r="U846" s="39"/>
      <c r="V846" s="39"/>
      <c r="W846" s="60" t="s">
        <v>1693</v>
      </c>
    </row>
    <row r="847" spans="1:23" s="79" customFormat="1" ht="153" x14ac:dyDescent="0.2">
      <c r="A847" s="1" t="s">
        <v>4141</v>
      </c>
      <c r="B847" s="2" t="s">
        <v>196</v>
      </c>
      <c r="C847" s="2" t="s">
        <v>2877</v>
      </c>
      <c r="D847" s="2" t="s">
        <v>2878</v>
      </c>
      <c r="E847" s="2">
        <v>2022</v>
      </c>
      <c r="F847" s="2" t="s">
        <v>1789</v>
      </c>
      <c r="G847" s="2" t="s">
        <v>3092</v>
      </c>
      <c r="H847" s="2" t="s">
        <v>3092</v>
      </c>
      <c r="I847" s="1" t="s">
        <v>4142</v>
      </c>
      <c r="J847" s="1" t="s">
        <v>4143</v>
      </c>
      <c r="K847" s="17"/>
      <c r="L847" s="80">
        <v>0.33300000000000002</v>
      </c>
      <c r="M847" s="15"/>
      <c r="N847" s="15"/>
      <c r="O847" s="81"/>
      <c r="P847" s="15">
        <v>851.29</v>
      </c>
      <c r="Q847" s="15"/>
      <c r="R847" s="15"/>
      <c r="S847" s="15"/>
      <c r="T847" s="15"/>
      <c r="U847" s="15"/>
      <c r="V847" s="15"/>
      <c r="W847" s="60" t="s">
        <v>4144</v>
      </c>
    </row>
    <row r="848" spans="1:23" s="79" customFormat="1" ht="140.25" x14ac:dyDescent="0.2">
      <c r="A848" s="1" t="s">
        <v>4141</v>
      </c>
      <c r="B848" s="2" t="s">
        <v>196</v>
      </c>
      <c r="C848" s="2" t="s">
        <v>2877</v>
      </c>
      <c r="D848" s="2" t="s">
        <v>2878</v>
      </c>
      <c r="E848" s="2">
        <v>2022</v>
      </c>
      <c r="F848" s="2" t="s">
        <v>1791</v>
      </c>
      <c r="G848" s="2" t="s">
        <v>3092</v>
      </c>
      <c r="H848" s="2" t="s">
        <v>3092</v>
      </c>
      <c r="I848" s="1" t="s">
        <v>4145</v>
      </c>
      <c r="J848" s="1" t="s">
        <v>4146</v>
      </c>
      <c r="K848" s="17"/>
      <c r="L848" s="54">
        <v>0.35799999999999998</v>
      </c>
      <c r="M848" s="39"/>
      <c r="N848" s="39"/>
      <c r="O848" s="15">
        <v>1634.14</v>
      </c>
      <c r="P848" s="3"/>
      <c r="Q848" s="39"/>
      <c r="R848" s="39"/>
      <c r="S848" s="39"/>
      <c r="T848" s="39"/>
      <c r="U848" s="39"/>
      <c r="V848" s="39"/>
      <c r="W848" s="60" t="s">
        <v>1737</v>
      </c>
    </row>
    <row r="849" spans="1:23" s="79" customFormat="1" ht="102" x14ac:dyDescent="0.2">
      <c r="A849" s="1" t="s">
        <v>4147</v>
      </c>
      <c r="B849" s="2" t="s">
        <v>196</v>
      </c>
      <c r="C849" s="2" t="s">
        <v>2877</v>
      </c>
      <c r="D849" s="2" t="s">
        <v>2878</v>
      </c>
      <c r="E849" s="2">
        <v>2022</v>
      </c>
      <c r="F849" s="2" t="s">
        <v>1791</v>
      </c>
      <c r="G849" s="2" t="s">
        <v>3092</v>
      </c>
      <c r="H849" s="2" t="s">
        <v>3092</v>
      </c>
      <c r="I849" s="1" t="s">
        <v>4148</v>
      </c>
      <c r="J849" s="1" t="s">
        <v>4149</v>
      </c>
      <c r="K849" s="17"/>
      <c r="L849" s="54">
        <v>0.373</v>
      </c>
      <c r="M849" s="39"/>
      <c r="N849" s="39"/>
      <c r="O849" s="39">
        <v>442.36</v>
      </c>
      <c r="P849" s="39"/>
      <c r="Q849" s="39"/>
      <c r="R849" s="39"/>
      <c r="S849" s="39">
        <v>166.18</v>
      </c>
      <c r="T849" s="39"/>
      <c r="U849" s="39"/>
      <c r="V849" s="39"/>
      <c r="W849" s="60" t="s">
        <v>1737</v>
      </c>
    </row>
    <row r="850" spans="1:23" s="79" customFormat="1" ht="25.5" x14ac:dyDescent="0.2">
      <c r="A850" s="1" t="s">
        <v>153</v>
      </c>
      <c r="B850" s="2" t="s">
        <v>24</v>
      </c>
      <c r="C850" s="2" t="s">
        <v>154</v>
      </c>
      <c r="D850" s="2" t="s">
        <v>155</v>
      </c>
      <c r="E850" s="2">
        <v>2022</v>
      </c>
      <c r="F850" s="2" t="s">
        <v>1776</v>
      </c>
      <c r="G850" s="2" t="s">
        <v>3095</v>
      </c>
      <c r="H850" s="2" t="s">
        <v>3092</v>
      </c>
      <c r="I850" s="1" t="s">
        <v>14</v>
      </c>
      <c r="J850" s="1" t="s">
        <v>4150</v>
      </c>
      <c r="K850" s="17"/>
      <c r="L850" s="54">
        <v>0.38400000000000001</v>
      </c>
      <c r="M850" s="39"/>
      <c r="N850" s="39"/>
      <c r="O850" s="39">
        <v>1190.8</v>
      </c>
      <c r="P850" s="39"/>
      <c r="Q850" s="39"/>
      <c r="R850" s="39"/>
      <c r="S850" s="39"/>
      <c r="T850" s="39"/>
      <c r="U850" s="39"/>
      <c r="V850" s="39"/>
      <c r="W850" s="60" t="s">
        <v>1681</v>
      </c>
    </row>
    <row r="851" spans="1:23" s="79" customFormat="1" ht="25.5" x14ac:dyDescent="0.2">
      <c r="A851" s="1" t="s">
        <v>153</v>
      </c>
      <c r="B851" s="2" t="s">
        <v>24</v>
      </c>
      <c r="C851" s="2" t="s">
        <v>154</v>
      </c>
      <c r="D851" s="2" t="s">
        <v>155</v>
      </c>
      <c r="E851" s="2">
        <v>2022</v>
      </c>
      <c r="F851" s="2" t="s">
        <v>1779</v>
      </c>
      <c r="G851" s="2" t="s">
        <v>3095</v>
      </c>
      <c r="H851" s="2" t="s">
        <v>3092</v>
      </c>
      <c r="I851" s="1" t="s">
        <v>14</v>
      </c>
      <c r="J851" s="1" t="s">
        <v>4151</v>
      </c>
      <c r="K851" s="17"/>
      <c r="L851" s="54">
        <v>0.436</v>
      </c>
      <c r="M851" s="39"/>
      <c r="N851" s="39"/>
      <c r="O851" s="39">
        <v>1312.1</v>
      </c>
      <c r="P851" s="39"/>
      <c r="Q851" s="39"/>
      <c r="R851" s="39"/>
      <c r="S851" s="39"/>
      <c r="T851" s="39"/>
      <c r="U851" s="39"/>
      <c r="V851" s="39"/>
      <c r="W851" s="60" t="s">
        <v>1681</v>
      </c>
    </row>
    <row r="852" spans="1:23" s="79" customFormat="1" ht="25.5" x14ac:dyDescent="0.2">
      <c r="A852" s="1" t="s">
        <v>153</v>
      </c>
      <c r="B852" s="2" t="s">
        <v>24</v>
      </c>
      <c r="C852" s="2" t="s">
        <v>154</v>
      </c>
      <c r="D852" s="2" t="s">
        <v>155</v>
      </c>
      <c r="E852" s="2">
        <v>2022</v>
      </c>
      <c r="F852" s="2" t="s">
        <v>1781</v>
      </c>
      <c r="G852" s="2" t="s">
        <v>3095</v>
      </c>
      <c r="H852" s="2" t="s">
        <v>3092</v>
      </c>
      <c r="I852" s="1" t="s">
        <v>14</v>
      </c>
      <c r="J852" s="1" t="s">
        <v>4152</v>
      </c>
      <c r="K852" s="17"/>
      <c r="L852" s="54">
        <v>0.436</v>
      </c>
      <c r="M852" s="39"/>
      <c r="N852" s="39"/>
      <c r="O852" s="39">
        <v>1403.7</v>
      </c>
      <c r="P852" s="39"/>
      <c r="Q852" s="39"/>
      <c r="R852" s="39"/>
      <c r="S852" s="39"/>
      <c r="T852" s="39"/>
      <c r="U852" s="39"/>
      <c r="V852" s="39"/>
      <c r="W852" s="60" t="s">
        <v>1681</v>
      </c>
    </row>
    <row r="853" spans="1:23" s="79" customFormat="1" ht="25.5" x14ac:dyDescent="0.2">
      <c r="A853" s="1" t="s">
        <v>153</v>
      </c>
      <c r="B853" s="2" t="s">
        <v>24</v>
      </c>
      <c r="C853" s="2" t="s">
        <v>154</v>
      </c>
      <c r="D853" s="2" t="s">
        <v>155</v>
      </c>
      <c r="E853" s="2">
        <v>2022</v>
      </c>
      <c r="F853" s="2" t="s">
        <v>1783</v>
      </c>
      <c r="G853" s="2" t="s">
        <v>3095</v>
      </c>
      <c r="H853" s="2" t="s">
        <v>3092</v>
      </c>
      <c r="I853" s="1" t="s">
        <v>14</v>
      </c>
      <c r="J853" s="1" t="s">
        <v>4153</v>
      </c>
      <c r="K853" s="17"/>
      <c r="L853" s="54">
        <v>0.42499999999999999</v>
      </c>
      <c r="M853" s="39"/>
      <c r="N853" s="39"/>
      <c r="O853" s="39">
        <v>1276.0999999999999</v>
      </c>
      <c r="P853" s="39"/>
      <c r="Q853" s="39"/>
      <c r="R853" s="39"/>
      <c r="S853" s="39"/>
      <c r="T853" s="39"/>
      <c r="U853" s="39"/>
      <c r="V853" s="39"/>
      <c r="W853" s="60" t="s">
        <v>1681</v>
      </c>
    </row>
    <row r="854" spans="1:23" s="79" customFormat="1" ht="25.5" x14ac:dyDescent="0.2">
      <c r="A854" s="1" t="s">
        <v>153</v>
      </c>
      <c r="B854" s="2" t="s">
        <v>24</v>
      </c>
      <c r="C854" s="2" t="s">
        <v>154</v>
      </c>
      <c r="D854" s="2" t="s">
        <v>155</v>
      </c>
      <c r="E854" s="2">
        <v>2022</v>
      </c>
      <c r="F854" s="2" t="s">
        <v>1785</v>
      </c>
      <c r="G854" s="2" t="s">
        <v>3095</v>
      </c>
      <c r="H854" s="2" t="s">
        <v>3092</v>
      </c>
      <c r="I854" s="1" t="s">
        <v>14</v>
      </c>
      <c r="J854" s="1" t="s">
        <v>4154</v>
      </c>
      <c r="K854" s="17"/>
      <c r="L854" s="54">
        <v>0.432</v>
      </c>
      <c r="M854" s="39"/>
      <c r="N854" s="39"/>
      <c r="O854" s="39">
        <v>1588.4</v>
      </c>
      <c r="P854" s="39"/>
      <c r="Q854" s="39"/>
      <c r="R854" s="39"/>
      <c r="S854" s="39"/>
      <c r="T854" s="39"/>
      <c r="U854" s="39"/>
      <c r="V854" s="39"/>
      <c r="W854" s="60" t="s">
        <v>1681</v>
      </c>
    </row>
    <row r="855" spans="1:23" s="79" customFormat="1" ht="25.5" x14ac:dyDescent="0.2">
      <c r="A855" s="1" t="s">
        <v>153</v>
      </c>
      <c r="B855" s="2" t="s">
        <v>24</v>
      </c>
      <c r="C855" s="2" t="s">
        <v>154</v>
      </c>
      <c r="D855" s="2" t="s">
        <v>155</v>
      </c>
      <c r="E855" s="2">
        <v>2022</v>
      </c>
      <c r="F855" s="2" t="s">
        <v>1787</v>
      </c>
      <c r="G855" s="2" t="s">
        <v>3095</v>
      </c>
      <c r="H855" s="2" t="s">
        <v>3092</v>
      </c>
      <c r="I855" s="1" t="s">
        <v>14</v>
      </c>
      <c r="J855" s="1" t="s">
        <v>4155</v>
      </c>
      <c r="K855" s="17"/>
      <c r="L855" s="54">
        <v>0.42</v>
      </c>
      <c r="M855" s="39"/>
      <c r="N855" s="39"/>
      <c r="O855" s="39">
        <v>1427.8</v>
      </c>
      <c r="P855" s="39"/>
      <c r="Q855" s="39"/>
      <c r="R855" s="39"/>
      <c r="S855" s="39"/>
      <c r="T855" s="39"/>
      <c r="U855" s="39"/>
      <c r="V855" s="39"/>
      <c r="W855" s="60" t="s">
        <v>1681</v>
      </c>
    </row>
    <row r="856" spans="1:23" s="79" customFormat="1" ht="25.5" x14ac:dyDescent="0.2">
      <c r="A856" s="1" t="s">
        <v>153</v>
      </c>
      <c r="B856" s="2" t="s">
        <v>24</v>
      </c>
      <c r="C856" s="2" t="s">
        <v>154</v>
      </c>
      <c r="D856" s="2" t="s">
        <v>155</v>
      </c>
      <c r="E856" s="2">
        <v>2022</v>
      </c>
      <c r="F856" s="2" t="s">
        <v>1789</v>
      </c>
      <c r="G856" s="2" t="s">
        <v>3095</v>
      </c>
      <c r="H856" s="2" t="s">
        <v>3092</v>
      </c>
      <c r="I856" s="1" t="s">
        <v>14</v>
      </c>
      <c r="J856" s="1" t="s">
        <v>4156</v>
      </c>
      <c r="K856" s="17"/>
      <c r="L856" s="54">
        <v>0.41299999999999998</v>
      </c>
      <c r="M856" s="39"/>
      <c r="N856" s="39"/>
      <c r="O856" s="3">
        <v>1347.3</v>
      </c>
      <c r="P856" s="39"/>
      <c r="Q856" s="39"/>
      <c r="R856" s="39"/>
      <c r="S856" s="39"/>
      <c r="T856" s="39"/>
      <c r="U856" s="39"/>
      <c r="V856" s="39"/>
      <c r="W856" s="60" t="s">
        <v>1681</v>
      </c>
    </row>
    <row r="857" spans="1:23" s="79" customFormat="1" ht="25.5" x14ac:dyDescent="0.2">
      <c r="A857" s="1" t="s">
        <v>153</v>
      </c>
      <c r="B857" s="2" t="s">
        <v>24</v>
      </c>
      <c r="C857" s="2" t="s">
        <v>154</v>
      </c>
      <c r="D857" s="2" t="s">
        <v>155</v>
      </c>
      <c r="E857" s="2">
        <v>2022</v>
      </c>
      <c r="F857" s="2" t="s">
        <v>1791</v>
      </c>
      <c r="G857" s="2" t="s">
        <v>3095</v>
      </c>
      <c r="H857" s="2" t="s">
        <v>3092</v>
      </c>
      <c r="I857" s="1" t="s">
        <v>14</v>
      </c>
      <c r="J857" s="1" t="s">
        <v>4157</v>
      </c>
      <c r="K857" s="17"/>
      <c r="L857" s="54">
        <v>0.40899999999999997</v>
      </c>
      <c r="M857" s="39"/>
      <c r="N857" s="39"/>
      <c r="O857" s="39">
        <v>1138</v>
      </c>
      <c r="P857" s="39"/>
      <c r="Q857" s="39"/>
      <c r="R857" s="39"/>
      <c r="S857" s="39"/>
      <c r="T857" s="39"/>
      <c r="U857" s="39"/>
      <c r="V857" s="39"/>
      <c r="W857" s="60" t="s">
        <v>1681</v>
      </c>
    </row>
    <row r="858" spans="1:23" s="79" customFormat="1" ht="25.5" x14ac:dyDescent="0.2">
      <c r="A858" s="1" t="s">
        <v>153</v>
      </c>
      <c r="B858" s="2" t="s">
        <v>24</v>
      </c>
      <c r="C858" s="2" t="s">
        <v>154</v>
      </c>
      <c r="D858" s="2" t="s">
        <v>155</v>
      </c>
      <c r="E858" s="2">
        <v>2022</v>
      </c>
      <c r="F858" s="2" t="s">
        <v>311</v>
      </c>
      <c r="G858" s="2" t="s">
        <v>3095</v>
      </c>
      <c r="H858" s="2" t="s">
        <v>3092</v>
      </c>
      <c r="I858" s="1" t="s">
        <v>14</v>
      </c>
      <c r="J858" s="1" t="s">
        <v>4158</v>
      </c>
      <c r="K858" s="17"/>
      <c r="L858" s="54">
        <v>0.42199999999999999</v>
      </c>
      <c r="M858" s="39"/>
      <c r="N858" s="39"/>
      <c r="O858" s="39">
        <v>1191.2</v>
      </c>
      <c r="P858" s="39"/>
      <c r="Q858" s="39"/>
      <c r="R858" s="39"/>
      <c r="S858" s="39"/>
      <c r="T858" s="39"/>
      <c r="U858" s="39"/>
      <c r="V858" s="39"/>
      <c r="W858" s="60" t="s">
        <v>1681</v>
      </c>
    </row>
    <row r="859" spans="1:23" s="79" customFormat="1" ht="25.5" x14ac:dyDescent="0.2">
      <c r="A859" s="1" t="s">
        <v>153</v>
      </c>
      <c r="B859" s="2" t="s">
        <v>24</v>
      </c>
      <c r="C859" s="2" t="s">
        <v>154</v>
      </c>
      <c r="D859" s="2" t="s">
        <v>155</v>
      </c>
      <c r="E859" s="2">
        <v>2022</v>
      </c>
      <c r="F859" s="2" t="s">
        <v>1794</v>
      </c>
      <c r="G859" s="2" t="s">
        <v>3095</v>
      </c>
      <c r="H859" s="2" t="s">
        <v>3092</v>
      </c>
      <c r="I859" s="1" t="s">
        <v>14</v>
      </c>
      <c r="J859" s="1" t="s">
        <v>4159</v>
      </c>
      <c r="K859" s="17"/>
      <c r="L859" s="54">
        <v>0.379</v>
      </c>
      <c r="M859" s="39"/>
      <c r="N859" s="39"/>
      <c r="O859" s="39">
        <v>1311.7</v>
      </c>
      <c r="P859" s="39"/>
      <c r="Q859" s="39"/>
      <c r="R859" s="39"/>
      <c r="S859" s="39"/>
      <c r="T859" s="39"/>
      <c r="U859" s="39"/>
      <c r="V859" s="39"/>
      <c r="W859" s="60" t="s">
        <v>1681</v>
      </c>
    </row>
    <row r="860" spans="1:23" s="79" customFormat="1" ht="25.5" x14ac:dyDescent="0.2">
      <c r="A860" s="1" t="s">
        <v>153</v>
      </c>
      <c r="B860" s="2" t="s">
        <v>24</v>
      </c>
      <c r="C860" s="2" t="s">
        <v>154</v>
      </c>
      <c r="D860" s="2" t="s">
        <v>155</v>
      </c>
      <c r="E860" s="2">
        <v>2022</v>
      </c>
      <c r="F860" s="2" t="s">
        <v>1796</v>
      </c>
      <c r="G860" s="2" t="s">
        <v>3095</v>
      </c>
      <c r="H860" s="2" t="s">
        <v>3092</v>
      </c>
      <c r="I860" s="1" t="s">
        <v>14</v>
      </c>
      <c r="J860" s="1" t="s">
        <v>4160</v>
      </c>
      <c r="K860" s="17"/>
      <c r="L860" s="54">
        <v>0.375</v>
      </c>
      <c r="M860" s="39"/>
      <c r="N860" s="39"/>
      <c r="O860" s="39">
        <v>1202.1199999999999</v>
      </c>
      <c r="P860" s="39"/>
      <c r="Q860" s="39"/>
      <c r="R860" s="39"/>
      <c r="S860" s="39"/>
      <c r="T860" s="39"/>
      <c r="U860" s="39"/>
      <c r="V860" s="39"/>
      <c r="W860" s="60" t="s">
        <v>1681</v>
      </c>
    </row>
    <row r="861" spans="1:23" s="79" customFormat="1" ht="25.5" x14ac:dyDescent="0.2">
      <c r="A861" s="1" t="s">
        <v>153</v>
      </c>
      <c r="B861" s="2" t="s">
        <v>24</v>
      </c>
      <c r="C861" s="2" t="s">
        <v>154</v>
      </c>
      <c r="D861" s="2" t="s">
        <v>155</v>
      </c>
      <c r="E861" s="2">
        <v>2022</v>
      </c>
      <c r="F861" s="2" t="s">
        <v>1798</v>
      </c>
      <c r="G861" s="2" t="s">
        <v>3095</v>
      </c>
      <c r="H861" s="2" t="s">
        <v>3092</v>
      </c>
      <c r="I861" s="1" t="s">
        <v>14</v>
      </c>
      <c r="J861" s="1" t="s">
        <v>4161</v>
      </c>
      <c r="K861" s="17"/>
      <c r="L861" s="54">
        <v>0.371</v>
      </c>
      <c r="M861" s="39"/>
      <c r="N861" s="39"/>
      <c r="O861" s="39">
        <v>1449</v>
      </c>
      <c r="P861" s="39"/>
      <c r="Q861" s="39"/>
      <c r="R861" s="39"/>
      <c r="S861" s="39"/>
      <c r="T861" s="39"/>
      <c r="U861" s="39"/>
      <c r="V861" s="39"/>
      <c r="W861" s="60" t="s">
        <v>1681</v>
      </c>
    </row>
    <row r="862" spans="1:23" s="79" customFormat="1" ht="25.5" x14ac:dyDescent="0.2">
      <c r="A862" s="1" t="s">
        <v>4162</v>
      </c>
      <c r="B862" s="2" t="s">
        <v>196</v>
      </c>
      <c r="C862" s="2" t="s">
        <v>154</v>
      </c>
      <c r="D862" s="2" t="s">
        <v>155</v>
      </c>
      <c r="E862" s="2">
        <v>2022</v>
      </c>
      <c r="F862" s="2" t="s">
        <v>1794</v>
      </c>
      <c r="G862" s="2" t="s">
        <v>3093</v>
      </c>
      <c r="H862" s="2" t="s">
        <v>3092</v>
      </c>
      <c r="I862" s="1" t="s">
        <v>4163</v>
      </c>
      <c r="J862" s="1" t="s">
        <v>4163</v>
      </c>
      <c r="K862" s="17"/>
      <c r="L862" s="54"/>
      <c r="M862" s="39"/>
      <c r="N862" s="39"/>
      <c r="O862" s="39"/>
      <c r="P862" s="39"/>
      <c r="Q862" s="39"/>
      <c r="R862" s="39"/>
      <c r="S862" s="39"/>
      <c r="T862" s="39"/>
      <c r="U862" s="39"/>
      <c r="V862" s="39"/>
      <c r="W862" s="60"/>
    </row>
    <row r="863" spans="1:23" s="79" customFormat="1" ht="63.75" x14ac:dyDescent="0.2">
      <c r="A863" s="1" t="s">
        <v>4162</v>
      </c>
      <c r="B863" s="2" t="s">
        <v>196</v>
      </c>
      <c r="C863" s="2" t="s">
        <v>154</v>
      </c>
      <c r="D863" s="2" t="s">
        <v>155</v>
      </c>
      <c r="E863" s="2">
        <v>2022</v>
      </c>
      <c r="F863" s="2" t="s">
        <v>1796</v>
      </c>
      <c r="G863" s="2" t="s">
        <v>3092</v>
      </c>
      <c r="H863" s="2" t="s">
        <v>3092</v>
      </c>
      <c r="I863" s="1" t="s">
        <v>4164</v>
      </c>
      <c r="J863" s="1" t="s">
        <v>4165</v>
      </c>
      <c r="K863" s="17"/>
      <c r="L863" s="54">
        <v>0.33</v>
      </c>
      <c r="M863" s="39"/>
      <c r="N863" s="39"/>
      <c r="O863" s="39"/>
      <c r="P863" s="39">
        <v>264</v>
      </c>
      <c r="Q863" s="39"/>
      <c r="R863" s="39"/>
      <c r="S863" s="39"/>
      <c r="T863" s="39"/>
      <c r="U863" s="39"/>
      <c r="V863" s="39"/>
      <c r="W863" s="60" t="s">
        <v>4166</v>
      </c>
    </row>
    <row r="864" spans="1:23" s="79" customFormat="1" ht="25.5" x14ac:dyDescent="0.2">
      <c r="A864" s="1" t="s">
        <v>159</v>
      </c>
      <c r="B864" s="2" t="s">
        <v>38</v>
      </c>
      <c r="C864" s="2" t="s">
        <v>154</v>
      </c>
      <c r="D864" s="2" t="s">
        <v>155</v>
      </c>
      <c r="E864" s="2">
        <v>2022</v>
      </c>
      <c r="F864" s="2" t="s">
        <v>1776</v>
      </c>
      <c r="G864" s="2" t="s">
        <v>3095</v>
      </c>
      <c r="H864" s="2" t="s">
        <v>3092</v>
      </c>
      <c r="I864" s="1" t="s">
        <v>14</v>
      </c>
      <c r="J864" s="1" t="s">
        <v>4167</v>
      </c>
      <c r="K864" s="17"/>
      <c r="L864" s="54"/>
      <c r="M864" s="39"/>
      <c r="N864" s="39"/>
      <c r="O864" s="39"/>
      <c r="P864" s="39"/>
      <c r="Q864" s="39"/>
      <c r="R864" s="39"/>
      <c r="S864" s="39"/>
      <c r="T864" s="39"/>
      <c r="U864" s="39"/>
      <c r="V864" s="39"/>
      <c r="W864" s="60" t="s">
        <v>1718</v>
      </c>
    </row>
    <row r="865" spans="1:23" s="79" customFormat="1" ht="25.5" x14ac:dyDescent="0.2">
      <c r="A865" s="1" t="s">
        <v>159</v>
      </c>
      <c r="B865" s="2" t="s">
        <v>38</v>
      </c>
      <c r="C865" s="2" t="s">
        <v>154</v>
      </c>
      <c r="D865" s="2" t="s">
        <v>155</v>
      </c>
      <c r="E865" s="2">
        <v>2022</v>
      </c>
      <c r="F865" s="2" t="s">
        <v>1779</v>
      </c>
      <c r="G865" s="2" t="s">
        <v>3095</v>
      </c>
      <c r="H865" s="2" t="s">
        <v>3092</v>
      </c>
      <c r="I865" s="1" t="s">
        <v>14</v>
      </c>
      <c r="J865" s="1" t="s">
        <v>4168</v>
      </c>
      <c r="K865" s="17"/>
      <c r="L865" s="54"/>
      <c r="M865" s="39"/>
      <c r="N865" s="39"/>
      <c r="O865" s="39"/>
      <c r="P865" s="39"/>
      <c r="Q865" s="39"/>
      <c r="R865" s="39"/>
      <c r="S865" s="39"/>
      <c r="T865" s="39"/>
      <c r="U865" s="39"/>
      <c r="V865" s="39"/>
      <c r="W865" s="60" t="s">
        <v>1718</v>
      </c>
    </row>
    <row r="866" spans="1:23" s="79" customFormat="1" ht="25.5" x14ac:dyDescent="0.2">
      <c r="A866" s="1" t="s">
        <v>159</v>
      </c>
      <c r="B866" s="2" t="s">
        <v>38</v>
      </c>
      <c r="C866" s="2" t="s">
        <v>154</v>
      </c>
      <c r="D866" s="2" t="s">
        <v>155</v>
      </c>
      <c r="E866" s="2">
        <v>2022</v>
      </c>
      <c r="F866" s="2" t="s">
        <v>1781</v>
      </c>
      <c r="G866" s="2" t="s">
        <v>3095</v>
      </c>
      <c r="H866" s="2" t="s">
        <v>3092</v>
      </c>
      <c r="I866" s="1" t="s">
        <v>14</v>
      </c>
      <c r="J866" s="1" t="s">
        <v>4169</v>
      </c>
      <c r="K866" s="17"/>
      <c r="L866" s="54"/>
      <c r="M866" s="39"/>
      <c r="N866" s="39"/>
      <c r="O866" s="39"/>
      <c r="P866" s="39"/>
      <c r="Q866" s="39"/>
      <c r="R866" s="39"/>
      <c r="S866" s="39"/>
      <c r="T866" s="39"/>
      <c r="U866" s="39"/>
      <c r="V866" s="39"/>
      <c r="W866" s="60" t="s">
        <v>1718</v>
      </c>
    </row>
    <row r="867" spans="1:23" s="79" customFormat="1" ht="25.5" x14ac:dyDescent="0.2">
      <c r="A867" s="1" t="s">
        <v>159</v>
      </c>
      <c r="B867" s="2" t="s">
        <v>38</v>
      </c>
      <c r="C867" s="2" t="s">
        <v>154</v>
      </c>
      <c r="D867" s="2" t="s">
        <v>155</v>
      </c>
      <c r="E867" s="2">
        <v>2022</v>
      </c>
      <c r="F867" s="2" t="s">
        <v>1783</v>
      </c>
      <c r="G867" s="2" t="s">
        <v>3095</v>
      </c>
      <c r="H867" s="2" t="s">
        <v>3092</v>
      </c>
      <c r="I867" s="1" t="s">
        <v>14</v>
      </c>
      <c r="J867" s="1" t="s">
        <v>4170</v>
      </c>
      <c r="K867" s="17"/>
      <c r="L867" s="54"/>
      <c r="M867" s="39"/>
      <c r="N867" s="39"/>
      <c r="O867" s="39"/>
      <c r="P867" s="39"/>
      <c r="Q867" s="39"/>
      <c r="R867" s="39"/>
      <c r="S867" s="39"/>
      <c r="T867" s="39"/>
      <c r="U867" s="39"/>
      <c r="V867" s="39"/>
      <c r="W867" s="60" t="s">
        <v>1718</v>
      </c>
    </row>
    <row r="868" spans="1:23" s="79" customFormat="1" ht="25.5" x14ac:dyDescent="0.2">
      <c r="A868" s="1" t="s">
        <v>159</v>
      </c>
      <c r="B868" s="2" t="s">
        <v>38</v>
      </c>
      <c r="C868" s="2" t="s">
        <v>154</v>
      </c>
      <c r="D868" s="2" t="s">
        <v>155</v>
      </c>
      <c r="E868" s="2">
        <v>2022</v>
      </c>
      <c r="F868" s="2" t="s">
        <v>1785</v>
      </c>
      <c r="G868" s="2" t="s">
        <v>3095</v>
      </c>
      <c r="H868" s="2" t="s">
        <v>3092</v>
      </c>
      <c r="I868" s="1" t="s">
        <v>14</v>
      </c>
      <c r="J868" s="1" t="s">
        <v>4171</v>
      </c>
      <c r="K868" s="17"/>
      <c r="L868" s="54"/>
      <c r="M868" s="39"/>
      <c r="N868" s="39"/>
      <c r="O868" s="39"/>
      <c r="P868" s="39"/>
      <c r="Q868" s="39"/>
      <c r="R868" s="39"/>
      <c r="S868" s="39"/>
      <c r="T868" s="39"/>
      <c r="U868" s="39"/>
      <c r="V868" s="39"/>
      <c r="W868" s="60" t="s">
        <v>1718</v>
      </c>
    </row>
    <row r="869" spans="1:23" s="79" customFormat="1" ht="25.5" x14ac:dyDescent="0.2">
      <c r="A869" s="1" t="s">
        <v>159</v>
      </c>
      <c r="B869" s="2" t="s">
        <v>38</v>
      </c>
      <c r="C869" s="2" t="s">
        <v>154</v>
      </c>
      <c r="D869" s="2" t="s">
        <v>155</v>
      </c>
      <c r="E869" s="2">
        <v>2022</v>
      </c>
      <c r="F869" s="2" t="s">
        <v>1787</v>
      </c>
      <c r="G869" s="2" t="s">
        <v>3095</v>
      </c>
      <c r="H869" s="2" t="s">
        <v>3092</v>
      </c>
      <c r="I869" s="1" t="s">
        <v>14</v>
      </c>
      <c r="J869" s="1" t="s">
        <v>4172</v>
      </c>
      <c r="K869" s="17"/>
      <c r="L869" s="54"/>
      <c r="M869" s="39"/>
      <c r="N869" s="39"/>
      <c r="O869" s="39"/>
      <c r="P869" s="39"/>
      <c r="Q869" s="39"/>
      <c r="R869" s="39"/>
      <c r="S869" s="39"/>
      <c r="T869" s="39"/>
      <c r="U869" s="39"/>
      <c r="V869" s="39"/>
      <c r="W869" s="60" t="s">
        <v>1718</v>
      </c>
    </row>
    <row r="870" spans="1:23" s="79" customFormat="1" ht="25.5" x14ac:dyDescent="0.2">
      <c r="A870" s="1" t="s">
        <v>159</v>
      </c>
      <c r="B870" s="2" t="s">
        <v>38</v>
      </c>
      <c r="C870" s="2" t="s">
        <v>154</v>
      </c>
      <c r="D870" s="2" t="s">
        <v>155</v>
      </c>
      <c r="E870" s="2">
        <v>2022</v>
      </c>
      <c r="F870" s="2" t="s">
        <v>1789</v>
      </c>
      <c r="G870" s="2" t="s">
        <v>3095</v>
      </c>
      <c r="H870" s="2" t="s">
        <v>3092</v>
      </c>
      <c r="I870" s="1" t="s">
        <v>14</v>
      </c>
      <c r="J870" s="1" t="s">
        <v>4173</v>
      </c>
      <c r="K870" s="17"/>
      <c r="L870" s="54"/>
      <c r="M870" s="39"/>
      <c r="N870" s="39"/>
      <c r="O870" s="39"/>
      <c r="P870" s="39"/>
      <c r="Q870" s="39"/>
      <c r="R870" s="39"/>
      <c r="S870" s="39"/>
      <c r="T870" s="39"/>
      <c r="U870" s="39"/>
      <c r="V870" s="39"/>
      <c r="W870" s="60" t="s">
        <v>1718</v>
      </c>
    </row>
    <row r="871" spans="1:23" s="79" customFormat="1" ht="25.5" x14ac:dyDescent="0.2">
      <c r="A871" s="1" t="s">
        <v>159</v>
      </c>
      <c r="B871" s="2" t="s">
        <v>38</v>
      </c>
      <c r="C871" s="2" t="s">
        <v>154</v>
      </c>
      <c r="D871" s="2" t="s">
        <v>155</v>
      </c>
      <c r="E871" s="2">
        <v>2022</v>
      </c>
      <c r="F871" s="2" t="s">
        <v>1791</v>
      </c>
      <c r="G871" s="2" t="s">
        <v>3095</v>
      </c>
      <c r="H871" s="2" t="s">
        <v>3092</v>
      </c>
      <c r="I871" s="1" t="s">
        <v>14</v>
      </c>
      <c r="J871" s="1" t="s">
        <v>4174</v>
      </c>
      <c r="K871" s="17"/>
      <c r="L871" s="54"/>
      <c r="M871" s="39"/>
      <c r="N871" s="39"/>
      <c r="O871" s="39"/>
      <c r="P871" s="39"/>
      <c r="Q871" s="39"/>
      <c r="R871" s="39"/>
      <c r="S871" s="39"/>
      <c r="T871" s="39"/>
      <c r="U871" s="39"/>
      <c r="V871" s="39"/>
      <c r="W871" s="60" t="s">
        <v>1718</v>
      </c>
    </row>
    <row r="872" spans="1:23" s="79" customFormat="1" ht="25.5" x14ac:dyDescent="0.2">
      <c r="A872" s="1" t="s">
        <v>159</v>
      </c>
      <c r="B872" s="2" t="s">
        <v>38</v>
      </c>
      <c r="C872" s="2" t="s">
        <v>154</v>
      </c>
      <c r="D872" s="2" t="s">
        <v>155</v>
      </c>
      <c r="E872" s="2">
        <v>2022</v>
      </c>
      <c r="F872" s="2" t="s">
        <v>311</v>
      </c>
      <c r="G872" s="2" t="s">
        <v>3095</v>
      </c>
      <c r="H872" s="2" t="s">
        <v>3092</v>
      </c>
      <c r="I872" s="1" t="s">
        <v>14</v>
      </c>
      <c r="J872" s="1" t="s">
        <v>4175</v>
      </c>
      <c r="K872" s="17"/>
      <c r="L872" s="54"/>
      <c r="M872" s="39"/>
      <c r="N872" s="39"/>
      <c r="O872" s="39"/>
      <c r="P872" s="39"/>
      <c r="Q872" s="39"/>
      <c r="R872" s="39"/>
      <c r="S872" s="39"/>
      <c r="T872" s="39"/>
      <c r="U872" s="39"/>
      <c r="V872" s="39"/>
      <c r="W872" s="60" t="s">
        <v>1718</v>
      </c>
    </row>
    <row r="873" spans="1:23" s="79" customFormat="1" ht="25.5" x14ac:dyDescent="0.2">
      <c r="A873" s="1" t="s">
        <v>159</v>
      </c>
      <c r="B873" s="2" t="s">
        <v>38</v>
      </c>
      <c r="C873" s="2" t="s">
        <v>154</v>
      </c>
      <c r="D873" s="2" t="s">
        <v>155</v>
      </c>
      <c r="E873" s="2">
        <v>2022</v>
      </c>
      <c r="F873" s="2" t="s">
        <v>1794</v>
      </c>
      <c r="G873" s="2" t="s">
        <v>3095</v>
      </c>
      <c r="H873" s="2" t="s">
        <v>3092</v>
      </c>
      <c r="I873" s="1" t="s">
        <v>14</v>
      </c>
      <c r="J873" s="1" t="s">
        <v>4176</v>
      </c>
      <c r="K873" s="17"/>
      <c r="L873" s="54"/>
      <c r="M873" s="39"/>
      <c r="N873" s="39"/>
      <c r="O873" s="39"/>
      <c r="P873" s="39"/>
      <c r="Q873" s="39"/>
      <c r="R873" s="39"/>
      <c r="S873" s="39"/>
      <c r="T873" s="39"/>
      <c r="U873" s="39"/>
      <c r="V873" s="39"/>
      <c r="W873" s="60" t="s">
        <v>1718</v>
      </c>
    </row>
    <row r="874" spans="1:23" s="79" customFormat="1" ht="25.5" x14ac:dyDescent="0.2">
      <c r="A874" s="1" t="s">
        <v>159</v>
      </c>
      <c r="B874" s="2" t="s">
        <v>38</v>
      </c>
      <c r="C874" s="2" t="s">
        <v>154</v>
      </c>
      <c r="D874" s="2" t="s">
        <v>155</v>
      </c>
      <c r="E874" s="2">
        <v>2022</v>
      </c>
      <c r="F874" s="2" t="s">
        <v>1796</v>
      </c>
      <c r="G874" s="2" t="s">
        <v>3095</v>
      </c>
      <c r="H874" s="2" t="s">
        <v>3092</v>
      </c>
      <c r="I874" s="1" t="s">
        <v>14</v>
      </c>
      <c r="J874" s="1" t="s">
        <v>4177</v>
      </c>
      <c r="K874" s="17"/>
      <c r="L874" s="54"/>
      <c r="M874" s="39"/>
      <c r="N874" s="39"/>
      <c r="O874" s="39"/>
      <c r="P874" s="39"/>
      <c r="Q874" s="39"/>
      <c r="R874" s="39"/>
      <c r="S874" s="39"/>
      <c r="T874" s="39"/>
      <c r="U874" s="39"/>
      <c r="V874" s="39"/>
      <c r="W874" s="60" t="s">
        <v>1718</v>
      </c>
    </row>
    <row r="875" spans="1:23" s="79" customFormat="1" ht="25.5" x14ac:dyDescent="0.2">
      <c r="A875" s="1" t="s">
        <v>159</v>
      </c>
      <c r="B875" s="2" t="s">
        <v>38</v>
      </c>
      <c r="C875" s="2" t="s">
        <v>154</v>
      </c>
      <c r="D875" s="2" t="s">
        <v>155</v>
      </c>
      <c r="E875" s="2">
        <v>2022</v>
      </c>
      <c r="F875" s="2" t="s">
        <v>1798</v>
      </c>
      <c r="G875" s="2" t="s">
        <v>3095</v>
      </c>
      <c r="H875" s="2" t="s">
        <v>3092</v>
      </c>
      <c r="I875" s="1" t="s">
        <v>14</v>
      </c>
      <c r="J875" s="1" t="s">
        <v>4178</v>
      </c>
      <c r="K875" s="17"/>
      <c r="L875" s="54"/>
      <c r="M875" s="39"/>
      <c r="N875" s="39"/>
      <c r="O875" s="39"/>
      <c r="P875" s="39"/>
      <c r="Q875" s="39"/>
      <c r="R875" s="39"/>
      <c r="S875" s="39"/>
      <c r="T875" s="39"/>
      <c r="U875" s="39"/>
      <c r="V875" s="39"/>
      <c r="W875" s="60" t="s">
        <v>1718</v>
      </c>
    </row>
    <row r="876" spans="1:23" s="79" customFormat="1" ht="38.25" x14ac:dyDescent="0.2">
      <c r="A876" s="1" t="s">
        <v>212</v>
      </c>
      <c r="B876" s="2" t="s">
        <v>213</v>
      </c>
      <c r="C876" s="2" t="s">
        <v>214</v>
      </c>
      <c r="D876" s="2" t="s">
        <v>121</v>
      </c>
      <c r="E876" s="2">
        <v>2022</v>
      </c>
      <c r="F876" s="2" t="s">
        <v>1781</v>
      </c>
      <c r="G876" s="2" t="s">
        <v>3092</v>
      </c>
      <c r="H876" s="2" t="s">
        <v>3092</v>
      </c>
      <c r="I876" s="1" t="s">
        <v>4179</v>
      </c>
      <c r="J876" s="1" t="s">
        <v>4180</v>
      </c>
      <c r="K876" s="17"/>
      <c r="L876" s="54" t="s">
        <v>1670</v>
      </c>
      <c r="M876" s="39"/>
      <c r="N876" s="39"/>
      <c r="O876" s="39"/>
      <c r="P876" s="39"/>
      <c r="Q876" s="39"/>
      <c r="R876" s="39"/>
      <c r="S876" s="39"/>
      <c r="T876" s="39"/>
      <c r="U876" s="39"/>
      <c r="V876" s="39">
        <f>5200*0.004546</f>
        <v>23.639199999999999</v>
      </c>
      <c r="W876" s="60" t="s">
        <v>3973</v>
      </c>
    </row>
    <row r="877" spans="1:23" s="79" customFormat="1" ht="25.5" x14ac:dyDescent="0.2">
      <c r="A877" s="1" t="s">
        <v>212</v>
      </c>
      <c r="B877" s="2" t="s">
        <v>213</v>
      </c>
      <c r="C877" s="2" t="s">
        <v>214</v>
      </c>
      <c r="D877" s="2" t="s">
        <v>121</v>
      </c>
      <c r="E877" s="2">
        <v>2022</v>
      </c>
      <c r="F877" s="2" t="s">
        <v>1789</v>
      </c>
      <c r="G877" s="2" t="s">
        <v>3092</v>
      </c>
      <c r="H877" s="2" t="s">
        <v>3092</v>
      </c>
      <c r="I877" s="1" t="s">
        <v>4181</v>
      </c>
      <c r="J877" s="1" t="s">
        <v>4182</v>
      </c>
      <c r="K877" s="17"/>
      <c r="L877" s="54" t="s">
        <v>1670</v>
      </c>
      <c r="M877" s="39"/>
      <c r="N877" s="39"/>
      <c r="O877" s="39"/>
      <c r="P877" s="39"/>
      <c r="Q877" s="39"/>
      <c r="R877" s="39"/>
      <c r="S877" s="39"/>
      <c r="T877" s="39"/>
      <c r="U877" s="39"/>
      <c r="V877" s="39">
        <f>4600*0.004546</f>
        <v>20.9116</v>
      </c>
      <c r="W877" s="60" t="s">
        <v>3973</v>
      </c>
    </row>
    <row r="878" spans="1:23" s="79" customFormat="1" ht="51" x14ac:dyDescent="0.2">
      <c r="A878" s="1" t="s">
        <v>2916</v>
      </c>
      <c r="B878" s="2" t="s">
        <v>38</v>
      </c>
      <c r="C878" s="2" t="s">
        <v>286</v>
      </c>
      <c r="D878" s="2" t="s">
        <v>173</v>
      </c>
      <c r="E878" s="2">
        <v>2022</v>
      </c>
      <c r="F878" s="2" t="s">
        <v>1798</v>
      </c>
      <c r="G878" s="2" t="s">
        <v>3095</v>
      </c>
      <c r="H878" s="2" t="s">
        <v>3092</v>
      </c>
      <c r="I878" s="1" t="s">
        <v>14</v>
      </c>
      <c r="J878" s="1" t="s">
        <v>4183</v>
      </c>
      <c r="K878" s="17"/>
      <c r="L878" s="80" t="s">
        <v>4184</v>
      </c>
      <c r="M878" s="15"/>
      <c r="N878" s="15"/>
      <c r="O878" s="15">
        <f>159.12+56.1</f>
        <v>215.22</v>
      </c>
      <c r="P878" s="15"/>
      <c r="Q878" s="15"/>
      <c r="R878" s="15"/>
      <c r="S878" s="15"/>
      <c r="T878" s="15"/>
      <c r="U878" s="15"/>
      <c r="V878" s="15"/>
      <c r="W878" s="60" t="s">
        <v>4185</v>
      </c>
    </row>
    <row r="879" spans="1:23" s="79" customFormat="1" ht="25.5" x14ac:dyDescent="0.2">
      <c r="A879" s="1" t="s">
        <v>266</v>
      </c>
      <c r="B879" s="2" t="s">
        <v>463</v>
      </c>
      <c r="C879" s="2" t="s">
        <v>267</v>
      </c>
      <c r="D879" s="2" t="s">
        <v>268</v>
      </c>
      <c r="E879" s="2">
        <v>2022</v>
      </c>
      <c r="F879" s="2" t="s">
        <v>1791</v>
      </c>
      <c r="G879" s="2" t="s">
        <v>3092</v>
      </c>
      <c r="H879" s="2" t="s">
        <v>3093</v>
      </c>
      <c r="I879" s="1" t="s">
        <v>4186</v>
      </c>
      <c r="J879" s="1" t="s">
        <v>14</v>
      </c>
      <c r="K879" s="17"/>
      <c r="L879" s="54"/>
      <c r="M879" s="39"/>
      <c r="N879" s="39"/>
      <c r="O879" s="39"/>
      <c r="P879" s="39"/>
      <c r="Q879" s="39"/>
      <c r="R879" s="39"/>
      <c r="S879" s="39"/>
      <c r="T879" s="39"/>
      <c r="U879" s="39"/>
      <c r="V879" s="39"/>
      <c r="W879" s="60"/>
    </row>
    <row r="880" spans="1:23" s="79" customFormat="1" ht="25.5" x14ac:dyDescent="0.2">
      <c r="A880" s="1" t="s">
        <v>266</v>
      </c>
      <c r="B880" s="2" t="s">
        <v>463</v>
      </c>
      <c r="C880" s="2" t="s">
        <v>267</v>
      </c>
      <c r="D880" s="2" t="s">
        <v>268</v>
      </c>
      <c r="E880" s="2">
        <v>2022</v>
      </c>
      <c r="F880" s="2" t="s">
        <v>1794</v>
      </c>
      <c r="G880" s="2" t="s">
        <v>3092</v>
      </c>
      <c r="H880" s="2" t="s">
        <v>3093</v>
      </c>
      <c r="I880" s="1" t="s">
        <v>4187</v>
      </c>
      <c r="J880" s="1" t="s">
        <v>14</v>
      </c>
      <c r="K880" s="17"/>
      <c r="L880" s="54"/>
      <c r="M880" s="39"/>
      <c r="N880" s="39"/>
      <c r="O880" s="39"/>
      <c r="P880" s="39"/>
      <c r="Q880" s="39"/>
      <c r="R880" s="39"/>
      <c r="S880" s="39"/>
      <c r="T880" s="39"/>
      <c r="U880" s="39"/>
      <c r="V880" s="39"/>
      <c r="W880" s="60"/>
    </row>
    <row r="881" spans="1:23" s="79" customFormat="1" ht="63.75" x14ac:dyDescent="0.2">
      <c r="A881" s="1" t="s">
        <v>4188</v>
      </c>
      <c r="B881" s="2" t="s">
        <v>271</v>
      </c>
      <c r="C881" s="2" t="s">
        <v>4189</v>
      </c>
      <c r="D881" s="2" t="s">
        <v>3594</v>
      </c>
      <c r="E881" s="2">
        <v>2022</v>
      </c>
      <c r="F881" s="2" t="s">
        <v>1791</v>
      </c>
      <c r="G881" s="2" t="s">
        <v>3092</v>
      </c>
      <c r="H881" s="2" t="s">
        <v>3093</v>
      </c>
      <c r="I881" s="1" t="s">
        <v>4190</v>
      </c>
      <c r="J881" s="1" t="s">
        <v>14</v>
      </c>
      <c r="K881" s="17"/>
      <c r="L881" s="54"/>
      <c r="M881" s="39"/>
      <c r="N881" s="39"/>
      <c r="O881" s="39"/>
      <c r="P881" s="39"/>
      <c r="Q881" s="39"/>
      <c r="R881" s="39"/>
      <c r="S881" s="39"/>
      <c r="T881" s="39"/>
      <c r="U881" s="39"/>
      <c r="V881" s="39"/>
      <c r="W881" s="60" t="s">
        <v>1693</v>
      </c>
    </row>
    <row r="882" spans="1:23" s="79" customFormat="1" ht="89.25" x14ac:dyDescent="0.2">
      <c r="A882" s="1" t="s">
        <v>4188</v>
      </c>
      <c r="B882" s="2" t="s">
        <v>271</v>
      </c>
      <c r="C882" s="2" t="s">
        <v>4189</v>
      </c>
      <c r="D882" s="2" t="s">
        <v>3594</v>
      </c>
      <c r="E882" s="2">
        <v>2022</v>
      </c>
      <c r="F882" s="2" t="s">
        <v>1794</v>
      </c>
      <c r="G882" s="2" t="s">
        <v>3092</v>
      </c>
      <c r="H882" s="2" t="s">
        <v>3093</v>
      </c>
      <c r="I882" s="1" t="s">
        <v>4191</v>
      </c>
      <c r="J882" s="1" t="s">
        <v>14</v>
      </c>
      <c r="K882" s="17"/>
      <c r="L882" s="54"/>
      <c r="M882" s="39"/>
      <c r="N882" s="39"/>
      <c r="O882" s="39"/>
      <c r="P882" s="39"/>
      <c r="Q882" s="39"/>
      <c r="R882" s="39"/>
      <c r="S882" s="39"/>
      <c r="T882" s="39"/>
      <c r="U882" s="39"/>
      <c r="V882" s="39"/>
      <c r="W882" s="60" t="s">
        <v>1693</v>
      </c>
    </row>
    <row r="883" spans="1:23" s="79" customFormat="1" ht="51" x14ac:dyDescent="0.2">
      <c r="A883" s="1" t="s">
        <v>435</v>
      </c>
      <c r="B883" s="2" t="s">
        <v>436</v>
      </c>
      <c r="C883" s="2" t="s">
        <v>437</v>
      </c>
      <c r="D883" s="2" t="s">
        <v>419</v>
      </c>
      <c r="E883" s="2">
        <v>2022</v>
      </c>
      <c r="F883" s="2" t="s">
        <v>1794</v>
      </c>
      <c r="G883" s="2" t="s">
        <v>3092</v>
      </c>
      <c r="H883" s="2" t="s">
        <v>3093</v>
      </c>
      <c r="I883" s="1" t="s">
        <v>4192</v>
      </c>
      <c r="J883" s="1" t="s">
        <v>14</v>
      </c>
      <c r="K883" s="17"/>
      <c r="L883" s="54" t="s">
        <v>1670</v>
      </c>
      <c r="M883" s="39"/>
      <c r="N883" s="39"/>
      <c r="O883" s="39"/>
      <c r="P883" s="39"/>
      <c r="Q883" s="39"/>
      <c r="R883" s="39"/>
      <c r="S883" s="39"/>
      <c r="T883" s="39"/>
      <c r="U883" s="39"/>
      <c r="V883" s="39">
        <v>80</v>
      </c>
      <c r="W883" s="60" t="s">
        <v>3973</v>
      </c>
    </row>
    <row r="884" spans="1:23" s="79" customFormat="1" ht="25.5" x14ac:dyDescent="0.2">
      <c r="A884" s="1" t="s">
        <v>65</v>
      </c>
      <c r="B884" s="2" t="s">
        <v>29</v>
      </c>
      <c r="C884" s="2" t="s">
        <v>66</v>
      </c>
      <c r="D884" s="2" t="s">
        <v>67</v>
      </c>
      <c r="E884" s="2">
        <v>2022</v>
      </c>
      <c r="F884" s="2" t="s">
        <v>1776</v>
      </c>
      <c r="G884" s="2" t="s">
        <v>3095</v>
      </c>
      <c r="H884" s="2" t="s">
        <v>3092</v>
      </c>
      <c r="I884" s="1" t="s">
        <v>14</v>
      </c>
      <c r="J884" s="1" t="s">
        <v>4193</v>
      </c>
      <c r="K884" s="17"/>
      <c r="L884" s="54">
        <v>0.14699999999999999</v>
      </c>
      <c r="M884" s="39"/>
      <c r="N884" s="39"/>
      <c r="O884" s="39">
        <f>102/2</f>
        <v>51</v>
      </c>
      <c r="P884" s="39">
        <f>102/2</f>
        <v>51</v>
      </c>
      <c r="Q884" s="39"/>
      <c r="R884" s="39"/>
      <c r="S884" s="39"/>
      <c r="T884" s="39"/>
      <c r="U884" s="39"/>
      <c r="V884" s="39"/>
      <c r="W884" s="60" t="s">
        <v>1749</v>
      </c>
    </row>
    <row r="885" spans="1:23" s="79" customFormat="1" ht="25.5" x14ac:dyDescent="0.2">
      <c r="A885" s="1" t="s">
        <v>65</v>
      </c>
      <c r="B885" s="2" t="s">
        <v>29</v>
      </c>
      <c r="C885" s="2" t="s">
        <v>66</v>
      </c>
      <c r="D885" s="2" t="s">
        <v>67</v>
      </c>
      <c r="E885" s="2">
        <v>2022</v>
      </c>
      <c r="F885" s="2" t="s">
        <v>1779</v>
      </c>
      <c r="G885" s="2" t="s">
        <v>3095</v>
      </c>
      <c r="H885" s="2" t="s">
        <v>3092</v>
      </c>
      <c r="I885" s="1" t="s">
        <v>14</v>
      </c>
      <c r="J885" s="1" t="s">
        <v>4194</v>
      </c>
      <c r="K885" s="17"/>
      <c r="L885" s="54">
        <v>0.13800000000000001</v>
      </c>
      <c r="M885" s="39"/>
      <c r="N885" s="39"/>
      <c r="O885" s="39">
        <f>97.1/2</f>
        <v>48.55</v>
      </c>
      <c r="P885" s="39">
        <f>97.1/2</f>
        <v>48.55</v>
      </c>
      <c r="Q885" s="39"/>
      <c r="R885" s="39"/>
      <c r="S885" s="39"/>
      <c r="T885" s="39"/>
      <c r="U885" s="39"/>
      <c r="V885" s="39"/>
      <c r="W885" s="60" t="s">
        <v>1749</v>
      </c>
    </row>
    <row r="886" spans="1:23" s="79" customFormat="1" ht="25.5" x14ac:dyDescent="0.2">
      <c r="A886" s="1" t="s">
        <v>65</v>
      </c>
      <c r="B886" s="2" t="s">
        <v>29</v>
      </c>
      <c r="C886" s="2" t="s">
        <v>66</v>
      </c>
      <c r="D886" s="2" t="s">
        <v>67</v>
      </c>
      <c r="E886" s="2">
        <v>2022</v>
      </c>
      <c r="F886" s="2" t="s">
        <v>1781</v>
      </c>
      <c r="G886" s="2" t="s">
        <v>3095</v>
      </c>
      <c r="H886" s="2" t="s">
        <v>3092</v>
      </c>
      <c r="I886" s="1" t="s">
        <v>14</v>
      </c>
      <c r="J886" s="1" t="s">
        <v>4195</v>
      </c>
      <c r="K886" s="17"/>
      <c r="L886" s="54">
        <v>0.157</v>
      </c>
      <c r="M886" s="39"/>
      <c r="N886" s="39"/>
      <c r="O886" s="39">
        <f>200.7/2</f>
        <v>100.35</v>
      </c>
      <c r="P886" s="39">
        <f>200.7/2</f>
        <v>100.35</v>
      </c>
      <c r="Q886" s="39"/>
      <c r="R886" s="39"/>
      <c r="S886" s="39"/>
      <c r="T886" s="39"/>
      <c r="U886" s="39"/>
      <c r="V886" s="39"/>
      <c r="W886" s="60" t="s">
        <v>1749</v>
      </c>
    </row>
    <row r="887" spans="1:23" s="79" customFormat="1" ht="38.25" x14ac:dyDescent="0.2">
      <c r="A887" s="1" t="s">
        <v>65</v>
      </c>
      <c r="B887" s="2" t="s">
        <v>29</v>
      </c>
      <c r="C887" s="2" t="s">
        <v>66</v>
      </c>
      <c r="D887" s="2" t="s">
        <v>67</v>
      </c>
      <c r="E887" s="2">
        <v>2022</v>
      </c>
      <c r="F887" s="2" t="s">
        <v>1783</v>
      </c>
      <c r="G887" s="2" t="s">
        <v>3095</v>
      </c>
      <c r="H887" s="2" t="s">
        <v>3092</v>
      </c>
      <c r="I887" s="1" t="s">
        <v>14</v>
      </c>
      <c r="J887" s="1" t="s">
        <v>4196</v>
      </c>
      <c r="K887" s="17"/>
      <c r="L887" s="54">
        <v>0.16</v>
      </c>
      <c r="M887" s="39"/>
      <c r="N887" s="39"/>
      <c r="O887" s="39">
        <f>149/2</f>
        <v>74.5</v>
      </c>
      <c r="P887" s="39">
        <f>149/2</f>
        <v>74.5</v>
      </c>
      <c r="Q887" s="39"/>
      <c r="R887" s="39"/>
      <c r="S887" s="39"/>
      <c r="T887" s="39"/>
      <c r="U887" s="39"/>
      <c r="V887" s="39"/>
      <c r="W887" s="60" t="s">
        <v>4197</v>
      </c>
    </row>
    <row r="888" spans="1:23" s="79" customFormat="1" ht="25.5" x14ac:dyDescent="0.2">
      <c r="A888" s="1" t="s">
        <v>65</v>
      </c>
      <c r="B888" s="2" t="s">
        <v>29</v>
      </c>
      <c r="C888" s="2" t="s">
        <v>66</v>
      </c>
      <c r="D888" s="2" t="s">
        <v>67</v>
      </c>
      <c r="E888" s="2">
        <v>2022</v>
      </c>
      <c r="F888" s="2" t="s">
        <v>1785</v>
      </c>
      <c r="G888" s="2" t="s">
        <v>3095</v>
      </c>
      <c r="H888" s="2" t="s">
        <v>3092</v>
      </c>
      <c r="I888" s="1" t="s">
        <v>14</v>
      </c>
      <c r="J888" s="1" t="s">
        <v>4198</v>
      </c>
      <c r="K888" s="17"/>
      <c r="L888" s="54">
        <v>0.185</v>
      </c>
      <c r="M888" s="39"/>
      <c r="N888" s="39"/>
      <c r="O888" s="39">
        <f>81.6/2</f>
        <v>40.799999999999997</v>
      </c>
      <c r="P888" s="39">
        <f>81.6/2</f>
        <v>40.799999999999997</v>
      </c>
      <c r="Q888" s="39"/>
      <c r="R888" s="39"/>
      <c r="S888" s="39"/>
      <c r="T888" s="39"/>
      <c r="U888" s="39"/>
      <c r="V888" s="39"/>
      <c r="W888" s="60" t="s">
        <v>1749</v>
      </c>
    </row>
    <row r="889" spans="1:23" s="79" customFormat="1" ht="25.5" x14ac:dyDescent="0.2">
      <c r="A889" s="1" t="s">
        <v>65</v>
      </c>
      <c r="B889" s="2" t="s">
        <v>29</v>
      </c>
      <c r="C889" s="2" t="s">
        <v>66</v>
      </c>
      <c r="D889" s="2" t="s">
        <v>67</v>
      </c>
      <c r="E889" s="2">
        <v>2022</v>
      </c>
      <c r="F889" s="2" t="s">
        <v>1787</v>
      </c>
      <c r="G889" s="2" t="s">
        <v>3095</v>
      </c>
      <c r="H889" s="2" t="s">
        <v>3092</v>
      </c>
      <c r="I889" s="1" t="s">
        <v>14</v>
      </c>
      <c r="J889" s="1" t="s">
        <v>4199</v>
      </c>
      <c r="K889" s="17"/>
      <c r="L889" s="54">
        <v>0.17399999999999999</v>
      </c>
      <c r="M889" s="39"/>
      <c r="N889" s="39"/>
      <c r="O889" s="39">
        <f>159.2/2</f>
        <v>79.599999999999994</v>
      </c>
      <c r="P889" s="39">
        <f>159.2/2</f>
        <v>79.599999999999994</v>
      </c>
      <c r="Q889" s="39"/>
      <c r="R889" s="39"/>
      <c r="S889" s="39"/>
      <c r="T889" s="39"/>
      <c r="U889" s="39"/>
      <c r="V889" s="39"/>
      <c r="W889" s="60" t="s">
        <v>1749</v>
      </c>
    </row>
    <row r="890" spans="1:23" s="79" customFormat="1" ht="25.5" x14ac:dyDescent="0.2">
      <c r="A890" s="1" t="s">
        <v>65</v>
      </c>
      <c r="B890" s="2" t="s">
        <v>29</v>
      </c>
      <c r="C890" s="2" t="s">
        <v>66</v>
      </c>
      <c r="D890" s="2" t="s">
        <v>67</v>
      </c>
      <c r="E890" s="2">
        <v>2022</v>
      </c>
      <c r="F890" s="2" t="s">
        <v>1789</v>
      </c>
      <c r="G890" s="2" t="s">
        <v>3095</v>
      </c>
      <c r="H890" s="2" t="s">
        <v>3092</v>
      </c>
      <c r="I890" s="1" t="s">
        <v>14</v>
      </c>
      <c r="J890" s="1" t="s">
        <v>4200</v>
      </c>
      <c r="K890" s="17"/>
      <c r="L890" s="54">
        <v>0.16600000000000001</v>
      </c>
      <c r="M890" s="39"/>
      <c r="N890" s="39"/>
      <c r="O890" s="39">
        <f>159.7/2</f>
        <v>79.849999999999994</v>
      </c>
      <c r="P890" s="39">
        <f>159.7/2</f>
        <v>79.849999999999994</v>
      </c>
      <c r="Q890" s="39"/>
      <c r="R890" s="39"/>
      <c r="S890" s="39"/>
      <c r="T890" s="39"/>
      <c r="U890" s="39"/>
      <c r="V890" s="39"/>
      <c r="W890" s="60" t="s">
        <v>1749</v>
      </c>
    </row>
    <row r="891" spans="1:23" s="79" customFormat="1" ht="25.5" x14ac:dyDescent="0.2">
      <c r="A891" s="1" t="s">
        <v>65</v>
      </c>
      <c r="B891" s="2" t="s">
        <v>29</v>
      </c>
      <c r="C891" s="2" t="s">
        <v>66</v>
      </c>
      <c r="D891" s="2" t="s">
        <v>67</v>
      </c>
      <c r="E891" s="2">
        <v>2022</v>
      </c>
      <c r="F891" s="2" t="s">
        <v>1791</v>
      </c>
      <c r="G891" s="2" t="s">
        <v>3095</v>
      </c>
      <c r="H891" s="2" t="s">
        <v>3092</v>
      </c>
      <c r="I891" s="1" t="s">
        <v>14</v>
      </c>
      <c r="J891" s="1" t="s">
        <v>4201</v>
      </c>
      <c r="K891" s="17"/>
      <c r="L891" s="54">
        <v>0.16400000000000001</v>
      </c>
      <c r="M891" s="39"/>
      <c r="N891" s="39"/>
      <c r="O891" s="39">
        <f>167.3/2</f>
        <v>83.65</v>
      </c>
      <c r="P891" s="39">
        <f>167.3/2</f>
        <v>83.65</v>
      </c>
      <c r="Q891" s="39"/>
      <c r="R891" s="39"/>
      <c r="S891" s="39"/>
      <c r="T891" s="39"/>
      <c r="U891" s="39"/>
      <c r="V891" s="39"/>
      <c r="W891" s="60" t="s">
        <v>1749</v>
      </c>
    </row>
    <row r="892" spans="1:23" s="79" customFormat="1" ht="25.5" x14ac:dyDescent="0.2">
      <c r="A892" s="1" t="s">
        <v>65</v>
      </c>
      <c r="B892" s="2" t="s">
        <v>29</v>
      </c>
      <c r="C892" s="2" t="s">
        <v>66</v>
      </c>
      <c r="D892" s="2" t="s">
        <v>67</v>
      </c>
      <c r="E892" s="2">
        <v>2022</v>
      </c>
      <c r="F892" s="2" t="s">
        <v>311</v>
      </c>
      <c r="G892" s="2" t="s">
        <v>3095</v>
      </c>
      <c r="H892" s="2" t="s">
        <v>3092</v>
      </c>
      <c r="I892" s="1" t="s">
        <v>14</v>
      </c>
      <c r="J892" s="1" t="s">
        <v>4202</v>
      </c>
      <c r="K892" s="17"/>
      <c r="L892" s="54">
        <v>0.16</v>
      </c>
      <c r="M892" s="39"/>
      <c r="N892" s="39"/>
      <c r="O892" s="39">
        <f>127.9/2</f>
        <v>63.95</v>
      </c>
      <c r="P892" s="39">
        <f>127.9/2</f>
        <v>63.95</v>
      </c>
      <c r="Q892" s="39"/>
      <c r="R892" s="39"/>
      <c r="S892" s="39"/>
      <c r="T892" s="39"/>
      <c r="U892" s="39"/>
      <c r="V892" s="39"/>
      <c r="W892" s="60" t="s">
        <v>1749</v>
      </c>
    </row>
    <row r="893" spans="1:23" s="79" customFormat="1" ht="25.5" x14ac:dyDescent="0.2">
      <c r="A893" s="1" t="s">
        <v>65</v>
      </c>
      <c r="B893" s="2" t="s">
        <v>29</v>
      </c>
      <c r="C893" s="2" t="s">
        <v>66</v>
      </c>
      <c r="D893" s="2" t="s">
        <v>67</v>
      </c>
      <c r="E893" s="2">
        <v>2022</v>
      </c>
      <c r="F893" s="2" t="s">
        <v>1794</v>
      </c>
      <c r="G893" s="2" t="s">
        <v>3095</v>
      </c>
      <c r="H893" s="2" t="s">
        <v>3092</v>
      </c>
      <c r="I893" s="1" t="s">
        <v>14</v>
      </c>
      <c r="J893" s="1" t="s">
        <v>4203</v>
      </c>
      <c r="K893" s="17"/>
      <c r="L893" s="54">
        <v>0.16</v>
      </c>
      <c r="M893" s="39"/>
      <c r="N893" s="39"/>
      <c r="O893" s="39">
        <f>163.8/2</f>
        <v>81.900000000000006</v>
      </c>
      <c r="P893" s="39">
        <f>163.8/2</f>
        <v>81.900000000000006</v>
      </c>
      <c r="Q893" s="39"/>
      <c r="R893" s="39"/>
      <c r="S893" s="39"/>
      <c r="T893" s="39"/>
      <c r="U893" s="39"/>
      <c r="V893" s="39"/>
      <c r="W893" s="60" t="s">
        <v>1749</v>
      </c>
    </row>
    <row r="894" spans="1:23" s="79" customFormat="1" ht="25.5" x14ac:dyDescent="0.2">
      <c r="A894" s="1" t="s">
        <v>65</v>
      </c>
      <c r="B894" s="2" t="s">
        <v>29</v>
      </c>
      <c r="C894" s="2" t="s">
        <v>66</v>
      </c>
      <c r="D894" s="2" t="s">
        <v>67</v>
      </c>
      <c r="E894" s="2">
        <v>2022</v>
      </c>
      <c r="F894" s="2" t="s">
        <v>1796</v>
      </c>
      <c r="G894" s="2" t="s">
        <v>3095</v>
      </c>
      <c r="H894" s="2" t="s">
        <v>3092</v>
      </c>
      <c r="I894" s="1" t="s">
        <v>14</v>
      </c>
      <c r="J894" s="1" t="s">
        <v>4204</v>
      </c>
      <c r="K894" s="17"/>
      <c r="L894" s="54">
        <v>0.15</v>
      </c>
      <c r="M894" s="39"/>
      <c r="N894" s="39"/>
      <c r="O894" s="39">
        <f>202.9/2</f>
        <v>101.45</v>
      </c>
      <c r="P894" s="39">
        <f>202.9/2</f>
        <v>101.45</v>
      </c>
      <c r="Q894" s="39"/>
      <c r="R894" s="39"/>
      <c r="S894" s="39"/>
      <c r="T894" s="39"/>
      <c r="U894" s="39"/>
      <c r="V894" s="39"/>
      <c r="W894" s="60" t="s">
        <v>1749</v>
      </c>
    </row>
    <row r="895" spans="1:23" s="79" customFormat="1" ht="25.5" x14ac:dyDescent="0.2">
      <c r="A895" s="1" t="s">
        <v>65</v>
      </c>
      <c r="B895" s="2" t="s">
        <v>29</v>
      </c>
      <c r="C895" s="2" t="s">
        <v>66</v>
      </c>
      <c r="D895" s="2" t="s">
        <v>67</v>
      </c>
      <c r="E895" s="2">
        <v>2022</v>
      </c>
      <c r="F895" s="2" t="s">
        <v>1798</v>
      </c>
      <c r="G895" s="2" t="s">
        <v>3095</v>
      </c>
      <c r="H895" s="2" t="s">
        <v>3092</v>
      </c>
      <c r="I895" s="1" t="s">
        <v>14</v>
      </c>
      <c r="J895" s="1" t="s">
        <v>4205</v>
      </c>
      <c r="K895" s="17"/>
      <c r="L895" s="54">
        <v>0.16</v>
      </c>
      <c r="M895" s="39"/>
      <c r="N895" s="39"/>
      <c r="O895" s="39">
        <f>174.1/2</f>
        <v>87.05</v>
      </c>
      <c r="P895" s="39">
        <f>174.1/2</f>
        <v>87.05</v>
      </c>
      <c r="Q895" s="39"/>
      <c r="R895" s="39"/>
      <c r="S895" s="39"/>
      <c r="T895" s="39"/>
      <c r="U895" s="39"/>
      <c r="V895" s="39"/>
      <c r="W895" s="60" t="s">
        <v>1749</v>
      </c>
    </row>
    <row r="896" spans="1:23" s="79" customFormat="1" ht="25.5" x14ac:dyDescent="0.2">
      <c r="A896" s="1" t="s">
        <v>378</v>
      </c>
      <c r="B896" s="2" t="s">
        <v>277</v>
      </c>
      <c r="C896" s="2" t="s">
        <v>379</v>
      </c>
      <c r="D896" s="2" t="s">
        <v>380</v>
      </c>
      <c r="E896" s="2">
        <v>2022</v>
      </c>
      <c r="F896" s="2" t="s">
        <v>1796</v>
      </c>
      <c r="G896" s="2" t="s">
        <v>3092</v>
      </c>
      <c r="H896" s="2" t="s">
        <v>3092</v>
      </c>
      <c r="I896" s="1" t="s">
        <v>4206</v>
      </c>
      <c r="J896" s="1" t="s">
        <v>4206</v>
      </c>
      <c r="K896" s="17"/>
      <c r="L896" s="54"/>
      <c r="M896" s="39"/>
      <c r="N896" s="39"/>
      <c r="O896" s="39"/>
      <c r="P896" s="39"/>
      <c r="Q896" s="39"/>
      <c r="R896" s="39"/>
      <c r="S896" s="39"/>
      <c r="T896" s="39"/>
      <c r="U896" s="39"/>
      <c r="V896" s="39"/>
      <c r="W896" s="60" t="s">
        <v>4207</v>
      </c>
    </row>
    <row r="897" spans="1:23" s="79" customFormat="1" ht="25.5" x14ac:dyDescent="0.2">
      <c r="A897" s="1" t="s">
        <v>381</v>
      </c>
      <c r="B897" s="2" t="s">
        <v>232</v>
      </c>
      <c r="C897" s="2" t="s">
        <v>379</v>
      </c>
      <c r="D897" s="2" t="s">
        <v>380</v>
      </c>
      <c r="E897" s="2">
        <v>2022</v>
      </c>
      <c r="F897" s="2" t="s">
        <v>1796</v>
      </c>
      <c r="G897" s="2" t="s">
        <v>3092</v>
      </c>
      <c r="H897" s="2" t="s">
        <v>3092</v>
      </c>
      <c r="I897" s="1" t="s">
        <v>4208</v>
      </c>
      <c r="J897" s="1" t="s">
        <v>4208</v>
      </c>
      <c r="K897" s="17"/>
      <c r="L897" s="54"/>
      <c r="M897" s="39"/>
      <c r="N897" s="39"/>
      <c r="O897" s="39"/>
      <c r="P897" s="39"/>
      <c r="Q897" s="39"/>
      <c r="R897" s="39"/>
      <c r="S897" s="39"/>
      <c r="T897" s="39"/>
      <c r="U897" s="39"/>
      <c r="V897" s="39"/>
      <c r="W897" s="60" t="s">
        <v>4207</v>
      </c>
    </row>
    <row r="898" spans="1:23" s="79" customFormat="1" ht="25.5" x14ac:dyDescent="0.2">
      <c r="A898" s="1" t="s">
        <v>2949</v>
      </c>
      <c r="B898" s="2" t="s">
        <v>318</v>
      </c>
      <c r="C898" s="2" t="s">
        <v>379</v>
      </c>
      <c r="D898" s="2" t="s">
        <v>380</v>
      </c>
      <c r="E898" s="2">
        <v>2022</v>
      </c>
      <c r="F898" s="2" t="s">
        <v>1796</v>
      </c>
      <c r="G898" s="2" t="s">
        <v>3092</v>
      </c>
      <c r="H898" s="2" t="s">
        <v>3092</v>
      </c>
      <c r="I898" s="1" t="s">
        <v>4209</v>
      </c>
      <c r="J898" s="1" t="s">
        <v>4209</v>
      </c>
      <c r="K898" s="17"/>
      <c r="L898" s="54"/>
      <c r="M898" s="39"/>
      <c r="N898" s="39"/>
      <c r="O898" s="39"/>
      <c r="P898" s="39"/>
      <c r="Q898" s="39"/>
      <c r="R898" s="39"/>
      <c r="S898" s="39"/>
      <c r="T898" s="39"/>
      <c r="U898" s="39"/>
      <c r="V898" s="39"/>
      <c r="W898" s="60" t="s">
        <v>4207</v>
      </c>
    </row>
    <row r="899" spans="1:23" s="79" customFormat="1" ht="76.5" x14ac:dyDescent="0.2">
      <c r="A899" s="1" t="s">
        <v>455</v>
      </c>
      <c r="B899" s="2" t="s">
        <v>196</v>
      </c>
      <c r="C899" s="2" t="s">
        <v>379</v>
      </c>
      <c r="D899" s="2" t="s">
        <v>380</v>
      </c>
      <c r="E899" s="2">
        <v>2022</v>
      </c>
      <c r="F899" s="2" t="s">
        <v>1785</v>
      </c>
      <c r="G899" s="2" t="s">
        <v>3092</v>
      </c>
      <c r="H899" s="2" t="s">
        <v>3092</v>
      </c>
      <c r="I899" s="1" t="s">
        <v>4210</v>
      </c>
      <c r="J899" s="1" t="s">
        <v>4211</v>
      </c>
      <c r="K899" s="17"/>
      <c r="L899" s="54">
        <v>0.25</v>
      </c>
      <c r="M899" s="39"/>
      <c r="N899" s="39"/>
      <c r="O899" s="39">
        <f>191.48/L899</f>
        <v>765.92</v>
      </c>
      <c r="P899" s="39"/>
      <c r="Q899" s="39"/>
      <c r="R899" s="39"/>
      <c r="S899" s="39"/>
      <c r="T899" s="39"/>
      <c r="U899" s="39"/>
      <c r="V899" s="39"/>
      <c r="W899" s="60" t="s">
        <v>4212</v>
      </c>
    </row>
    <row r="900" spans="1:23" s="79" customFormat="1" ht="38.25" x14ac:dyDescent="0.2">
      <c r="A900" s="1" t="s">
        <v>455</v>
      </c>
      <c r="B900" s="2" t="s">
        <v>196</v>
      </c>
      <c r="C900" s="2" t="s">
        <v>379</v>
      </c>
      <c r="D900" s="2" t="s">
        <v>380</v>
      </c>
      <c r="E900" s="2">
        <v>2022</v>
      </c>
      <c r="F900" s="2" t="s">
        <v>1787</v>
      </c>
      <c r="G900" s="2" t="s">
        <v>3092</v>
      </c>
      <c r="H900" s="2" t="s">
        <v>3092</v>
      </c>
      <c r="I900" s="1" t="s">
        <v>4213</v>
      </c>
      <c r="J900" s="1" t="s">
        <v>4214</v>
      </c>
      <c r="K900" s="17"/>
      <c r="L900" s="54">
        <v>0.25</v>
      </c>
      <c r="M900" s="39"/>
      <c r="N900" s="39"/>
      <c r="O900" s="39">
        <f>1894/L900</f>
        <v>7576</v>
      </c>
      <c r="P900" s="39"/>
      <c r="Q900" s="39"/>
      <c r="R900" s="39"/>
      <c r="S900" s="39"/>
      <c r="T900" s="39"/>
      <c r="U900" s="39"/>
      <c r="V900" s="39"/>
      <c r="W900" s="60" t="s">
        <v>4212</v>
      </c>
    </row>
    <row r="901" spans="1:23" s="79" customFormat="1" ht="38.25" x14ac:dyDescent="0.2">
      <c r="A901" s="1" t="s">
        <v>455</v>
      </c>
      <c r="B901" s="2" t="s">
        <v>196</v>
      </c>
      <c r="C901" s="2" t="s">
        <v>379</v>
      </c>
      <c r="D901" s="2" t="s">
        <v>380</v>
      </c>
      <c r="E901" s="2">
        <v>2022</v>
      </c>
      <c r="F901" s="2" t="s">
        <v>1789</v>
      </c>
      <c r="G901" s="2" t="s">
        <v>3092</v>
      </c>
      <c r="H901" s="2" t="s">
        <v>3092</v>
      </c>
      <c r="I901" s="1" t="s">
        <v>4215</v>
      </c>
      <c r="J901" s="1" t="s">
        <v>4216</v>
      </c>
      <c r="K901" s="17"/>
      <c r="L901" s="54">
        <v>0.25</v>
      </c>
      <c r="M901" s="39"/>
      <c r="N901" s="39"/>
      <c r="O901" s="39">
        <f>1313/L901</f>
        <v>5252</v>
      </c>
      <c r="P901" s="39"/>
      <c r="Q901" s="39"/>
      <c r="R901" s="39"/>
      <c r="S901" s="39"/>
      <c r="T901" s="39"/>
      <c r="U901" s="39"/>
      <c r="V901" s="39"/>
      <c r="W901" s="60"/>
    </row>
    <row r="902" spans="1:23" s="79" customFormat="1" ht="38.25" x14ac:dyDescent="0.2">
      <c r="A902" s="1" t="s">
        <v>455</v>
      </c>
      <c r="B902" s="2" t="s">
        <v>196</v>
      </c>
      <c r="C902" s="2" t="s">
        <v>379</v>
      </c>
      <c r="D902" s="2" t="s">
        <v>380</v>
      </c>
      <c r="E902" s="2">
        <v>2022</v>
      </c>
      <c r="F902" s="2" t="s">
        <v>1791</v>
      </c>
      <c r="G902" s="2" t="s">
        <v>3092</v>
      </c>
      <c r="H902" s="2" t="s">
        <v>3092</v>
      </c>
      <c r="I902" s="1" t="s">
        <v>4217</v>
      </c>
      <c r="J902" s="1" t="s">
        <v>4218</v>
      </c>
      <c r="K902" s="17"/>
      <c r="L902" s="54">
        <v>0.25</v>
      </c>
      <c r="M902" s="39"/>
      <c r="N902" s="39"/>
      <c r="O902" s="39">
        <f>840/L902</f>
        <v>3360</v>
      </c>
      <c r="P902" s="39"/>
      <c r="Q902" s="39"/>
      <c r="R902" s="39"/>
      <c r="S902" s="39"/>
      <c r="T902" s="39"/>
      <c r="U902" s="39"/>
      <c r="V902" s="39"/>
      <c r="W902" s="60"/>
    </row>
    <row r="903" spans="1:23" s="79" customFormat="1" ht="63.75" x14ac:dyDescent="0.2">
      <c r="A903" s="1" t="s">
        <v>231</v>
      </c>
      <c r="B903" s="2" t="s">
        <v>232</v>
      </c>
      <c r="C903" s="2" t="s">
        <v>233</v>
      </c>
      <c r="D903" s="2" t="s">
        <v>234</v>
      </c>
      <c r="E903" s="2">
        <v>2022</v>
      </c>
      <c r="F903" s="2" t="s">
        <v>1787</v>
      </c>
      <c r="G903" s="2" t="s">
        <v>3092</v>
      </c>
      <c r="H903" s="2" t="s">
        <v>3092</v>
      </c>
      <c r="I903" s="1" t="s">
        <v>4219</v>
      </c>
      <c r="J903" s="1" t="s">
        <v>4220</v>
      </c>
      <c r="K903" s="17"/>
      <c r="L903" s="54">
        <v>0.17</v>
      </c>
      <c r="M903" s="39"/>
      <c r="N903" s="39"/>
      <c r="O903" s="39">
        <f>4.8*0.8</f>
        <v>3.84</v>
      </c>
      <c r="P903" s="39"/>
      <c r="Q903" s="39"/>
      <c r="R903" s="39"/>
      <c r="S903" s="39"/>
      <c r="T903" s="39"/>
      <c r="U903" s="39"/>
      <c r="V903" s="39"/>
      <c r="W903" s="60" t="s">
        <v>1680</v>
      </c>
    </row>
    <row r="904" spans="1:23" s="79" customFormat="1" ht="25.5" x14ac:dyDescent="0.2">
      <c r="A904" s="1" t="s">
        <v>4221</v>
      </c>
      <c r="B904" s="2" t="s">
        <v>38</v>
      </c>
      <c r="C904" s="2" t="s">
        <v>145</v>
      </c>
      <c r="D904" s="2" t="s">
        <v>146</v>
      </c>
      <c r="E904" s="2">
        <v>2022</v>
      </c>
      <c r="F904" s="2" t="s">
        <v>1776</v>
      </c>
      <c r="G904" s="2" t="s">
        <v>3095</v>
      </c>
      <c r="H904" s="2" t="s">
        <v>3092</v>
      </c>
      <c r="I904" s="1" t="s">
        <v>14</v>
      </c>
      <c r="J904" s="1" t="s">
        <v>4222</v>
      </c>
      <c r="K904" s="17"/>
      <c r="L904" s="54">
        <v>0.19400000000000001</v>
      </c>
      <c r="M904" s="39"/>
      <c r="N904" s="39"/>
      <c r="O904" s="39"/>
      <c r="P904" s="39">
        <v>110.4</v>
      </c>
      <c r="Q904" s="39"/>
      <c r="R904" s="39"/>
      <c r="S904" s="39"/>
      <c r="T904" s="39"/>
      <c r="U904" s="39"/>
      <c r="V904" s="39"/>
      <c r="W904" s="60"/>
    </row>
    <row r="905" spans="1:23" s="79" customFormat="1" ht="25.5" x14ac:dyDescent="0.2">
      <c r="A905" s="1" t="s">
        <v>4221</v>
      </c>
      <c r="B905" s="2" t="s">
        <v>38</v>
      </c>
      <c r="C905" s="2" t="s">
        <v>145</v>
      </c>
      <c r="D905" s="2" t="s">
        <v>146</v>
      </c>
      <c r="E905" s="2">
        <v>2022</v>
      </c>
      <c r="F905" s="2" t="s">
        <v>1779</v>
      </c>
      <c r="G905" s="2" t="s">
        <v>3095</v>
      </c>
      <c r="H905" s="2" t="s">
        <v>3092</v>
      </c>
      <c r="I905" s="1" t="s">
        <v>14</v>
      </c>
      <c r="J905" s="1" t="s">
        <v>4223</v>
      </c>
      <c r="K905" s="17"/>
      <c r="L905" s="54">
        <v>0.19420000000000001</v>
      </c>
      <c r="M905" s="39"/>
      <c r="N905" s="39"/>
      <c r="O905" s="39"/>
      <c r="P905" s="39">
        <v>73.599999999999994</v>
      </c>
      <c r="Q905" s="39"/>
      <c r="R905" s="39"/>
      <c r="S905" s="39"/>
      <c r="T905" s="39"/>
      <c r="U905" s="39"/>
      <c r="V905" s="39"/>
      <c r="W905" s="60"/>
    </row>
    <row r="906" spans="1:23" s="79" customFormat="1" ht="25.5" x14ac:dyDescent="0.2">
      <c r="A906" s="1" t="s">
        <v>4221</v>
      </c>
      <c r="B906" s="2" t="s">
        <v>38</v>
      </c>
      <c r="C906" s="2" t="s">
        <v>145</v>
      </c>
      <c r="D906" s="2" t="s">
        <v>146</v>
      </c>
      <c r="E906" s="2">
        <v>2022</v>
      </c>
      <c r="F906" s="2" t="s">
        <v>1781</v>
      </c>
      <c r="G906" s="2" t="s">
        <v>3095</v>
      </c>
      <c r="H906" s="2" t="s">
        <v>3092</v>
      </c>
      <c r="I906" s="1" t="s">
        <v>14</v>
      </c>
      <c r="J906" s="1" t="s">
        <v>4224</v>
      </c>
      <c r="K906" s="17"/>
      <c r="L906" s="54">
        <v>0.19700000000000001</v>
      </c>
      <c r="M906" s="39"/>
      <c r="N906" s="39"/>
      <c r="O906" s="39"/>
      <c r="P906" s="39">
        <v>101.2</v>
      </c>
      <c r="Q906" s="39"/>
      <c r="R906" s="39"/>
      <c r="S906" s="39"/>
      <c r="T906" s="39"/>
      <c r="U906" s="39"/>
      <c r="V906" s="39"/>
      <c r="W906" s="60"/>
    </row>
    <row r="907" spans="1:23" s="79" customFormat="1" ht="25.5" x14ac:dyDescent="0.2">
      <c r="A907" s="1" t="s">
        <v>4221</v>
      </c>
      <c r="B907" s="2" t="s">
        <v>38</v>
      </c>
      <c r="C907" s="2" t="s">
        <v>145</v>
      </c>
      <c r="D907" s="2" t="s">
        <v>146</v>
      </c>
      <c r="E907" s="2">
        <v>2022</v>
      </c>
      <c r="F907" s="2" t="s">
        <v>1783</v>
      </c>
      <c r="G907" s="2" t="s">
        <v>3095</v>
      </c>
      <c r="H907" s="2" t="s">
        <v>3092</v>
      </c>
      <c r="I907" s="1" t="s">
        <v>14</v>
      </c>
      <c r="J907" s="1" t="s">
        <v>4225</v>
      </c>
      <c r="K907" s="17"/>
      <c r="L907" s="54">
        <v>0.19</v>
      </c>
      <c r="M907" s="39"/>
      <c r="N907" s="39"/>
      <c r="O907" s="39"/>
      <c r="P907" s="39">
        <v>101.2</v>
      </c>
      <c r="Q907" s="39"/>
      <c r="R907" s="39"/>
      <c r="S907" s="39"/>
      <c r="T907" s="39"/>
      <c r="U907" s="39"/>
      <c r="V907" s="39"/>
      <c r="W907" s="60"/>
    </row>
    <row r="908" spans="1:23" s="79" customFormat="1" ht="25.5" x14ac:dyDescent="0.2">
      <c r="A908" s="1" t="s">
        <v>4221</v>
      </c>
      <c r="B908" s="2" t="s">
        <v>38</v>
      </c>
      <c r="C908" s="2" t="s">
        <v>145</v>
      </c>
      <c r="D908" s="2" t="s">
        <v>146</v>
      </c>
      <c r="E908" s="2">
        <v>2022</v>
      </c>
      <c r="F908" s="2" t="s">
        <v>1785</v>
      </c>
      <c r="G908" s="2" t="s">
        <v>3095</v>
      </c>
      <c r="H908" s="2" t="s">
        <v>3092</v>
      </c>
      <c r="I908" s="1" t="s">
        <v>14</v>
      </c>
      <c r="J908" s="1" t="s">
        <v>4226</v>
      </c>
      <c r="K908" s="17"/>
      <c r="L908" s="54">
        <v>0.21</v>
      </c>
      <c r="M908" s="39"/>
      <c r="N908" s="39"/>
      <c r="O908" s="39"/>
      <c r="P908" s="39">
        <v>82.8</v>
      </c>
      <c r="Q908" s="39"/>
      <c r="R908" s="39"/>
      <c r="S908" s="39"/>
      <c r="T908" s="39"/>
      <c r="U908" s="39"/>
      <c r="V908" s="39"/>
      <c r="W908" s="60"/>
    </row>
    <row r="909" spans="1:23" s="79" customFormat="1" ht="25.5" x14ac:dyDescent="0.2">
      <c r="A909" s="1" t="s">
        <v>4221</v>
      </c>
      <c r="B909" s="2" t="s">
        <v>38</v>
      </c>
      <c r="C909" s="2" t="s">
        <v>145</v>
      </c>
      <c r="D909" s="2" t="s">
        <v>146</v>
      </c>
      <c r="E909" s="2">
        <v>2022</v>
      </c>
      <c r="F909" s="2" t="s">
        <v>1787</v>
      </c>
      <c r="G909" s="2" t="s">
        <v>3095</v>
      </c>
      <c r="H909" s="2" t="s">
        <v>3092</v>
      </c>
      <c r="I909" s="1" t="s">
        <v>14</v>
      </c>
      <c r="J909" s="1" t="s">
        <v>4227</v>
      </c>
      <c r="K909" s="17"/>
      <c r="L909" s="54">
        <v>0.254</v>
      </c>
      <c r="M909" s="39"/>
      <c r="N909" s="39"/>
      <c r="O909" s="39"/>
      <c r="P909" s="39">
        <v>156.4</v>
      </c>
      <c r="Q909" s="39"/>
      <c r="R909" s="39"/>
      <c r="S909" s="39"/>
      <c r="T909" s="39"/>
      <c r="U909" s="39"/>
      <c r="V909" s="39"/>
      <c r="W909" s="60"/>
    </row>
    <row r="910" spans="1:23" s="79" customFormat="1" ht="25.5" x14ac:dyDescent="0.2">
      <c r="A910" s="1" t="s">
        <v>4221</v>
      </c>
      <c r="B910" s="2" t="s">
        <v>38</v>
      </c>
      <c r="C910" s="2" t="s">
        <v>145</v>
      </c>
      <c r="D910" s="2" t="s">
        <v>146</v>
      </c>
      <c r="E910" s="2">
        <v>2022</v>
      </c>
      <c r="F910" s="2" t="s">
        <v>1789</v>
      </c>
      <c r="G910" s="2" t="s">
        <v>3095</v>
      </c>
      <c r="H910" s="2" t="s">
        <v>3092</v>
      </c>
      <c r="I910" s="1" t="s">
        <v>14</v>
      </c>
      <c r="J910" s="1" t="s">
        <v>4228</v>
      </c>
      <c r="K910" s="17"/>
      <c r="L910" s="54">
        <v>0.32500000000000001</v>
      </c>
      <c r="M910" s="39"/>
      <c r="N910" s="39"/>
      <c r="O910" s="39"/>
      <c r="P910" s="39">
        <v>99</v>
      </c>
      <c r="Q910" s="39"/>
      <c r="R910" s="39"/>
      <c r="S910" s="39"/>
      <c r="T910" s="39"/>
      <c r="U910" s="39"/>
      <c r="V910" s="39"/>
      <c r="W910" s="60"/>
    </row>
    <row r="911" spans="1:23" s="79" customFormat="1" ht="25.5" x14ac:dyDescent="0.2">
      <c r="A911" s="1" t="s">
        <v>4221</v>
      </c>
      <c r="B911" s="2" t="s">
        <v>38</v>
      </c>
      <c r="C911" s="2" t="s">
        <v>145</v>
      </c>
      <c r="D911" s="2" t="s">
        <v>146</v>
      </c>
      <c r="E911" s="2">
        <v>2022</v>
      </c>
      <c r="F911" s="2" t="s">
        <v>1791</v>
      </c>
      <c r="G911" s="2" t="s">
        <v>3095</v>
      </c>
      <c r="H911" s="2" t="s">
        <v>3092</v>
      </c>
      <c r="I911" s="1" t="s">
        <v>14</v>
      </c>
      <c r="J911" s="1" t="s">
        <v>4229</v>
      </c>
      <c r="K911" s="17"/>
      <c r="L911" s="54">
        <v>0.21299999999999999</v>
      </c>
      <c r="M911" s="39"/>
      <c r="N911" s="39"/>
      <c r="O911" s="39"/>
      <c r="P911" s="39">
        <v>167</v>
      </c>
      <c r="Q911" s="39"/>
      <c r="R911" s="39"/>
      <c r="S911" s="39"/>
      <c r="T911" s="39"/>
      <c r="U911" s="39"/>
      <c r="V911" s="39"/>
      <c r="W911" s="60"/>
    </row>
    <row r="912" spans="1:23" s="79" customFormat="1" ht="25.5" x14ac:dyDescent="0.2">
      <c r="A912" s="1" t="s">
        <v>4221</v>
      </c>
      <c r="B912" s="2" t="s">
        <v>38</v>
      </c>
      <c r="C912" s="2" t="s">
        <v>145</v>
      </c>
      <c r="D912" s="2" t="s">
        <v>146</v>
      </c>
      <c r="E912" s="2">
        <v>2022</v>
      </c>
      <c r="F912" s="2" t="s">
        <v>311</v>
      </c>
      <c r="G912" s="2" t="s">
        <v>3095</v>
      </c>
      <c r="H912" s="2" t="s">
        <v>3092</v>
      </c>
      <c r="I912" s="1" t="s">
        <v>14</v>
      </c>
      <c r="J912" s="1" t="s">
        <v>4230</v>
      </c>
      <c r="K912" s="17"/>
      <c r="L912" s="54">
        <v>0.19400000000000001</v>
      </c>
      <c r="M912" s="39"/>
      <c r="N912" s="39"/>
      <c r="O912" s="39"/>
      <c r="P912" s="39">
        <v>154.1</v>
      </c>
      <c r="Q912" s="39"/>
      <c r="R912" s="39"/>
      <c r="S912" s="39"/>
      <c r="T912" s="39"/>
      <c r="U912" s="39"/>
      <c r="V912" s="39"/>
      <c r="W912" s="60"/>
    </row>
    <row r="913" spans="1:23" s="79" customFormat="1" ht="25.5" x14ac:dyDescent="0.2">
      <c r="A913" s="1" t="s">
        <v>4221</v>
      </c>
      <c r="B913" s="2" t="s">
        <v>38</v>
      </c>
      <c r="C913" s="2" t="s">
        <v>145</v>
      </c>
      <c r="D913" s="2" t="s">
        <v>146</v>
      </c>
      <c r="E913" s="2">
        <v>2022</v>
      </c>
      <c r="F913" s="2" t="s">
        <v>1794</v>
      </c>
      <c r="G913" s="2" t="s">
        <v>3095</v>
      </c>
      <c r="H913" s="2" t="s">
        <v>3092</v>
      </c>
      <c r="I913" s="1" t="s">
        <v>14</v>
      </c>
      <c r="J913" s="1" t="s">
        <v>4231</v>
      </c>
      <c r="K913" s="17"/>
      <c r="L913" s="54">
        <v>1.6E-2</v>
      </c>
      <c r="M913" s="39"/>
      <c r="N913" s="39"/>
      <c r="O913" s="39"/>
      <c r="P913" s="39">
        <v>190.6</v>
      </c>
      <c r="Q913" s="39"/>
      <c r="R913" s="39"/>
      <c r="S913" s="39"/>
      <c r="T913" s="39"/>
      <c r="U913" s="39"/>
      <c r="V913" s="39"/>
      <c r="W913" s="60"/>
    </row>
    <row r="914" spans="1:23" s="79" customFormat="1" ht="25.5" x14ac:dyDescent="0.2">
      <c r="A914" s="1" t="s">
        <v>4221</v>
      </c>
      <c r="B914" s="2" t="s">
        <v>38</v>
      </c>
      <c r="C914" s="2" t="s">
        <v>145</v>
      </c>
      <c r="D914" s="2" t="s">
        <v>146</v>
      </c>
      <c r="E914" s="2">
        <v>2022</v>
      </c>
      <c r="F914" s="2" t="s">
        <v>1796</v>
      </c>
      <c r="G914" s="2" t="s">
        <v>3095</v>
      </c>
      <c r="H914" s="2" t="s">
        <v>3092</v>
      </c>
      <c r="I914" s="1" t="s">
        <v>14</v>
      </c>
      <c r="J914" s="1" t="s">
        <v>4232</v>
      </c>
      <c r="K914" s="17"/>
      <c r="L914" s="54">
        <v>0.20799999999999999</v>
      </c>
      <c r="M914" s="39"/>
      <c r="N914" s="39"/>
      <c r="O914" s="39"/>
      <c r="P914" s="39">
        <v>127</v>
      </c>
      <c r="Q914" s="39"/>
      <c r="R914" s="39"/>
      <c r="S914" s="39"/>
      <c r="T914" s="39"/>
      <c r="U914" s="39"/>
      <c r="V914" s="39"/>
      <c r="W914" s="60"/>
    </row>
    <row r="915" spans="1:23" s="79" customFormat="1" ht="25.5" x14ac:dyDescent="0.2">
      <c r="A915" s="1" t="s">
        <v>4221</v>
      </c>
      <c r="B915" s="2" t="s">
        <v>38</v>
      </c>
      <c r="C915" s="2" t="s">
        <v>145</v>
      </c>
      <c r="D915" s="2" t="s">
        <v>146</v>
      </c>
      <c r="E915" s="2">
        <v>2022</v>
      </c>
      <c r="F915" s="2" t="s">
        <v>1798</v>
      </c>
      <c r="G915" s="2" t="s">
        <v>3095</v>
      </c>
      <c r="H915" s="2" t="s">
        <v>3092</v>
      </c>
      <c r="I915" s="1" t="s">
        <v>14</v>
      </c>
      <c r="J915" s="1" t="s">
        <v>4233</v>
      </c>
      <c r="K915" s="17"/>
      <c r="L915" s="54">
        <v>0.17</v>
      </c>
      <c r="M915" s="39"/>
      <c r="N915" s="39"/>
      <c r="O915" s="39"/>
      <c r="P915" s="39">
        <v>82.6</v>
      </c>
      <c r="Q915" s="39"/>
      <c r="R915" s="39"/>
      <c r="S915" s="39"/>
      <c r="T915" s="39"/>
      <c r="U915" s="39"/>
      <c r="V915" s="39"/>
      <c r="W915" s="60"/>
    </row>
    <row r="916" spans="1:23" s="79" customFormat="1" ht="38.25" x14ac:dyDescent="0.2">
      <c r="A916" s="1" t="s">
        <v>109</v>
      </c>
      <c r="B916" s="2" t="s">
        <v>48</v>
      </c>
      <c r="C916" s="2" t="s">
        <v>110</v>
      </c>
      <c r="D916" s="2" t="s">
        <v>111</v>
      </c>
      <c r="E916" s="2">
        <v>2022</v>
      </c>
      <c r="F916" s="2" t="s">
        <v>1776</v>
      </c>
      <c r="G916" s="2" t="s">
        <v>3095</v>
      </c>
      <c r="H916" s="2" t="s">
        <v>3092</v>
      </c>
      <c r="I916" s="1" t="s">
        <v>14</v>
      </c>
      <c r="J916" s="1" t="s">
        <v>4234</v>
      </c>
      <c r="K916" s="17"/>
      <c r="L916" s="54">
        <v>0.14199999999999999</v>
      </c>
      <c r="M916" s="15">
        <v>156.6</v>
      </c>
      <c r="N916" s="15"/>
      <c r="O916" s="15"/>
      <c r="P916" s="15"/>
      <c r="Q916" s="15"/>
      <c r="R916" s="15"/>
      <c r="S916" s="15"/>
      <c r="T916" s="15"/>
      <c r="U916" s="15"/>
      <c r="V916" s="15"/>
      <c r="W916" s="60"/>
    </row>
    <row r="917" spans="1:23" s="79" customFormat="1" ht="38.25" x14ac:dyDescent="0.2">
      <c r="A917" s="1" t="s">
        <v>109</v>
      </c>
      <c r="B917" s="2" t="s">
        <v>48</v>
      </c>
      <c r="C917" s="2" t="s">
        <v>110</v>
      </c>
      <c r="D917" s="2" t="s">
        <v>111</v>
      </c>
      <c r="E917" s="2">
        <v>2022</v>
      </c>
      <c r="F917" s="2" t="s">
        <v>1779</v>
      </c>
      <c r="G917" s="2" t="s">
        <v>3095</v>
      </c>
      <c r="H917" s="2" t="s">
        <v>3092</v>
      </c>
      <c r="I917" s="1" t="s">
        <v>14</v>
      </c>
      <c r="J917" s="1" t="s">
        <v>4235</v>
      </c>
      <c r="K917" s="17"/>
      <c r="L917" s="54">
        <v>0.14099999999999999</v>
      </c>
      <c r="M917" s="39">
        <v>253.3</v>
      </c>
      <c r="N917" s="39"/>
      <c r="O917" s="39"/>
      <c r="P917" s="39"/>
      <c r="Q917" s="39"/>
      <c r="R917" s="39"/>
      <c r="S917" s="39"/>
      <c r="T917" s="39"/>
      <c r="U917" s="39"/>
      <c r="V917" s="39"/>
      <c r="W917" s="60"/>
    </row>
    <row r="918" spans="1:23" s="79" customFormat="1" ht="38.25" x14ac:dyDescent="0.2">
      <c r="A918" s="1" t="s">
        <v>109</v>
      </c>
      <c r="B918" s="2" t="s">
        <v>48</v>
      </c>
      <c r="C918" s="2" t="s">
        <v>110</v>
      </c>
      <c r="D918" s="2" t="s">
        <v>111</v>
      </c>
      <c r="E918" s="2">
        <v>2022</v>
      </c>
      <c r="F918" s="2" t="s">
        <v>1781</v>
      </c>
      <c r="G918" s="2" t="s">
        <v>3095</v>
      </c>
      <c r="H918" s="2" t="s">
        <v>3092</v>
      </c>
      <c r="I918" s="1" t="s">
        <v>14</v>
      </c>
      <c r="J918" s="1" t="s">
        <v>4236</v>
      </c>
      <c r="K918" s="17"/>
      <c r="L918" s="54">
        <v>0.14799999999999999</v>
      </c>
      <c r="M918" s="39">
        <v>255.4</v>
      </c>
      <c r="N918" s="39"/>
      <c r="O918" s="39"/>
      <c r="P918" s="39"/>
      <c r="Q918" s="39"/>
      <c r="R918" s="39"/>
      <c r="S918" s="39"/>
      <c r="T918" s="39"/>
      <c r="U918" s="39"/>
      <c r="V918" s="39"/>
      <c r="W918" s="60"/>
    </row>
    <row r="919" spans="1:23" s="79" customFormat="1" ht="38.25" x14ac:dyDescent="0.2">
      <c r="A919" s="1" t="s">
        <v>109</v>
      </c>
      <c r="B919" s="2" t="s">
        <v>48</v>
      </c>
      <c r="C919" s="2" t="s">
        <v>110</v>
      </c>
      <c r="D919" s="2" t="s">
        <v>111</v>
      </c>
      <c r="E919" s="2">
        <v>2022</v>
      </c>
      <c r="F919" s="2" t="s">
        <v>1783</v>
      </c>
      <c r="G919" s="2" t="s">
        <v>3095</v>
      </c>
      <c r="H919" s="2" t="s">
        <v>3092</v>
      </c>
      <c r="I919" s="1" t="s">
        <v>14</v>
      </c>
      <c r="J919" s="1" t="s">
        <v>4237</v>
      </c>
      <c r="K919" s="17"/>
      <c r="L919" s="54">
        <v>0.159</v>
      </c>
      <c r="M919" s="39">
        <v>210.1</v>
      </c>
      <c r="N919" s="39"/>
      <c r="O919" s="39"/>
      <c r="P919" s="39"/>
      <c r="Q919" s="39"/>
      <c r="R919" s="39"/>
      <c r="S919" s="39"/>
      <c r="T919" s="39"/>
      <c r="U919" s="39"/>
      <c r="V919" s="39"/>
      <c r="W919" s="60"/>
    </row>
    <row r="920" spans="1:23" s="79" customFormat="1" ht="38.25" x14ac:dyDescent="0.2">
      <c r="A920" s="1" t="s">
        <v>109</v>
      </c>
      <c r="B920" s="2" t="s">
        <v>48</v>
      </c>
      <c r="C920" s="2" t="s">
        <v>110</v>
      </c>
      <c r="D920" s="2" t="s">
        <v>111</v>
      </c>
      <c r="E920" s="2">
        <v>2022</v>
      </c>
      <c r="F920" s="2" t="s">
        <v>1785</v>
      </c>
      <c r="G920" s="2" t="s">
        <v>3095</v>
      </c>
      <c r="H920" s="2" t="s">
        <v>3092</v>
      </c>
      <c r="I920" s="1" t="s">
        <v>14</v>
      </c>
      <c r="J920" s="1" t="s">
        <v>4238</v>
      </c>
      <c r="K920" s="17"/>
      <c r="L920" s="54">
        <v>0.152</v>
      </c>
      <c r="M920" s="39">
        <v>186.9</v>
      </c>
      <c r="N920" s="39"/>
      <c r="O920" s="39"/>
      <c r="P920" s="39"/>
      <c r="Q920" s="39"/>
      <c r="R920" s="39"/>
      <c r="S920" s="39"/>
      <c r="T920" s="39"/>
      <c r="U920" s="39"/>
      <c r="V920" s="39"/>
      <c r="W920" s="60"/>
    </row>
    <row r="921" spans="1:23" s="79" customFormat="1" ht="38.25" x14ac:dyDescent="0.2">
      <c r="A921" s="1" t="s">
        <v>109</v>
      </c>
      <c r="B921" s="2" t="s">
        <v>48</v>
      </c>
      <c r="C921" s="2" t="s">
        <v>110</v>
      </c>
      <c r="D921" s="2" t="s">
        <v>111</v>
      </c>
      <c r="E921" s="2">
        <v>2022</v>
      </c>
      <c r="F921" s="2" t="s">
        <v>1787</v>
      </c>
      <c r="G921" s="2" t="s">
        <v>3095</v>
      </c>
      <c r="H921" s="2" t="s">
        <v>3092</v>
      </c>
      <c r="I921" s="1" t="s">
        <v>14</v>
      </c>
      <c r="J921" s="1" t="s">
        <v>4239</v>
      </c>
      <c r="K921" s="17"/>
      <c r="L921" s="54">
        <v>0.155</v>
      </c>
      <c r="M921" s="39">
        <v>277.39999999999998</v>
      </c>
      <c r="N921" s="39"/>
      <c r="O921" s="39"/>
      <c r="P921" s="39"/>
      <c r="Q921" s="39"/>
      <c r="R921" s="39"/>
      <c r="S921" s="39"/>
      <c r="T921" s="39"/>
      <c r="U921" s="39"/>
      <c r="V921" s="39"/>
      <c r="W921" s="60"/>
    </row>
    <row r="922" spans="1:23" s="79" customFormat="1" ht="38.25" x14ac:dyDescent="0.2">
      <c r="A922" s="1" t="s">
        <v>109</v>
      </c>
      <c r="B922" s="2" t="s">
        <v>48</v>
      </c>
      <c r="C922" s="2" t="s">
        <v>110</v>
      </c>
      <c r="D922" s="2" t="s">
        <v>111</v>
      </c>
      <c r="E922" s="2">
        <v>2022</v>
      </c>
      <c r="F922" s="2" t="s">
        <v>1789</v>
      </c>
      <c r="G922" s="2" t="s">
        <v>3095</v>
      </c>
      <c r="H922" s="2" t="s">
        <v>3092</v>
      </c>
      <c r="I922" s="1" t="s">
        <v>14</v>
      </c>
      <c r="J922" s="1" t="s">
        <v>4240</v>
      </c>
      <c r="K922" s="17"/>
      <c r="L922" s="54">
        <v>0.161</v>
      </c>
      <c r="M922" s="39">
        <v>269.8</v>
      </c>
      <c r="N922" s="39"/>
      <c r="O922" s="39"/>
      <c r="P922" s="39"/>
      <c r="Q922" s="39"/>
      <c r="R922" s="39"/>
      <c r="S922" s="39"/>
      <c r="T922" s="39"/>
      <c r="U922" s="39"/>
      <c r="V922" s="39"/>
      <c r="W922" s="64"/>
    </row>
    <row r="923" spans="1:23" s="79" customFormat="1" ht="38.25" x14ac:dyDescent="0.2">
      <c r="A923" s="1" t="s">
        <v>109</v>
      </c>
      <c r="B923" s="2" t="s">
        <v>48</v>
      </c>
      <c r="C923" s="2" t="s">
        <v>110</v>
      </c>
      <c r="D923" s="2" t="s">
        <v>111</v>
      </c>
      <c r="E923" s="2">
        <v>2022</v>
      </c>
      <c r="F923" s="2" t="s">
        <v>1791</v>
      </c>
      <c r="G923" s="2" t="s">
        <v>3095</v>
      </c>
      <c r="H923" s="2" t="s">
        <v>3092</v>
      </c>
      <c r="I923" s="1" t="s">
        <v>14</v>
      </c>
      <c r="J923" s="1" t="s">
        <v>4241</v>
      </c>
      <c r="K923" s="17"/>
      <c r="L923" s="54">
        <v>0.161</v>
      </c>
      <c r="M923" s="15">
        <v>305.5</v>
      </c>
      <c r="N923" s="15"/>
      <c r="O923" s="15"/>
      <c r="P923" s="15"/>
      <c r="Q923" s="15"/>
      <c r="R923" s="15"/>
      <c r="S923" s="15"/>
      <c r="T923" s="15"/>
      <c r="U923" s="15"/>
      <c r="V923" s="15"/>
      <c r="W923" s="60"/>
    </row>
    <row r="924" spans="1:23" s="79" customFormat="1" ht="38.25" x14ac:dyDescent="0.2">
      <c r="A924" s="1" t="s">
        <v>109</v>
      </c>
      <c r="B924" s="2" t="s">
        <v>48</v>
      </c>
      <c r="C924" s="2" t="s">
        <v>110</v>
      </c>
      <c r="D924" s="2" t="s">
        <v>111</v>
      </c>
      <c r="E924" s="2">
        <v>2022</v>
      </c>
      <c r="F924" s="2" t="s">
        <v>311</v>
      </c>
      <c r="G924" s="2" t="s">
        <v>3095</v>
      </c>
      <c r="H924" s="2" t="s">
        <v>3092</v>
      </c>
      <c r="I924" s="1" t="s">
        <v>14</v>
      </c>
      <c r="J924" s="1" t="s">
        <v>4242</v>
      </c>
      <c r="K924" s="17"/>
      <c r="L924" s="54">
        <v>0.16300000000000001</v>
      </c>
      <c r="M924" s="39">
        <v>241.5</v>
      </c>
      <c r="N924" s="39"/>
      <c r="O924" s="39"/>
      <c r="P924" s="39"/>
      <c r="Q924" s="39"/>
      <c r="R924" s="39"/>
      <c r="S924" s="39"/>
      <c r="T924" s="39"/>
      <c r="U924" s="39"/>
      <c r="V924" s="39"/>
      <c r="W924" s="60"/>
    </row>
    <row r="925" spans="1:23" s="79" customFormat="1" ht="38.25" x14ac:dyDescent="0.2">
      <c r="A925" s="1" t="s">
        <v>109</v>
      </c>
      <c r="B925" s="2" t="s">
        <v>48</v>
      </c>
      <c r="C925" s="2" t="s">
        <v>110</v>
      </c>
      <c r="D925" s="2" t="s">
        <v>111</v>
      </c>
      <c r="E925" s="2">
        <v>2022</v>
      </c>
      <c r="F925" s="2" t="s">
        <v>1794</v>
      </c>
      <c r="G925" s="2" t="s">
        <v>3095</v>
      </c>
      <c r="H925" s="2" t="s">
        <v>3092</v>
      </c>
      <c r="I925" s="1" t="s">
        <v>14</v>
      </c>
      <c r="J925" s="1" t="s">
        <v>4243</v>
      </c>
      <c r="K925" s="17"/>
      <c r="L925" s="54">
        <v>0.158</v>
      </c>
      <c r="M925" s="39">
        <v>276.2</v>
      </c>
      <c r="N925" s="39"/>
      <c r="O925" s="39"/>
      <c r="P925" s="39"/>
      <c r="Q925" s="39"/>
      <c r="R925" s="39"/>
      <c r="S925" s="39"/>
      <c r="T925" s="39"/>
      <c r="U925" s="39"/>
      <c r="V925" s="39"/>
      <c r="W925" s="60"/>
    </row>
    <row r="926" spans="1:23" s="79" customFormat="1" ht="38.25" x14ac:dyDescent="0.2">
      <c r="A926" s="1" t="s">
        <v>109</v>
      </c>
      <c r="B926" s="2" t="s">
        <v>48</v>
      </c>
      <c r="C926" s="2" t="s">
        <v>110</v>
      </c>
      <c r="D926" s="2" t="s">
        <v>111</v>
      </c>
      <c r="E926" s="2">
        <v>2022</v>
      </c>
      <c r="F926" s="2" t="s">
        <v>1796</v>
      </c>
      <c r="G926" s="2" t="s">
        <v>3095</v>
      </c>
      <c r="H926" s="2" t="s">
        <v>3092</v>
      </c>
      <c r="I926" s="1" t="s">
        <v>14</v>
      </c>
      <c r="J926" s="1" t="s">
        <v>4244</v>
      </c>
      <c r="K926" s="17"/>
      <c r="L926" s="54">
        <v>0.155</v>
      </c>
      <c r="M926" s="39">
        <v>286.5</v>
      </c>
      <c r="N926" s="39"/>
      <c r="O926" s="39"/>
      <c r="P926" s="39"/>
      <c r="Q926" s="39"/>
      <c r="R926" s="39"/>
      <c r="S926" s="39"/>
      <c r="T926" s="39"/>
      <c r="U926" s="39"/>
      <c r="V926" s="39"/>
      <c r="W926" s="60"/>
    </row>
    <row r="927" spans="1:23" s="79" customFormat="1" ht="38.25" x14ac:dyDescent="0.2">
      <c r="A927" s="1" t="s">
        <v>109</v>
      </c>
      <c r="B927" s="2" t="s">
        <v>48</v>
      </c>
      <c r="C927" s="2" t="s">
        <v>110</v>
      </c>
      <c r="D927" s="2" t="s">
        <v>111</v>
      </c>
      <c r="E927" s="2">
        <v>2022</v>
      </c>
      <c r="F927" s="2" t="s">
        <v>1798</v>
      </c>
      <c r="G927" s="2" t="s">
        <v>3095</v>
      </c>
      <c r="H927" s="2" t="s">
        <v>3092</v>
      </c>
      <c r="I927" s="1" t="s">
        <v>14</v>
      </c>
      <c r="J927" s="1" t="s">
        <v>4245</v>
      </c>
      <c r="K927" s="17"/>
      <c r="L927" s="54">
        <v>0.158</v>
      </c>
      <c r="M927" s="39">
        <v>181</v>
      </c>
      <c r="N927" s="39"/>
      <c r="O927" s="39"/>
      <c r="P927" s="39"/>
      <c r="Q927" s="39"/>
      <c r="R927" s="39"/>
      <c r="S927" s="39"/>
      <c r="T927" s="39"/>
      <c r="U927" s="39"/>
      <c r="V927" s="39"/>
      <c r="W927" s="60"/>
    </row>
    <row r="928" spans="1:23" s="79" customFormat="1" ht="38.25" x14ac:dyDescent="0.2">
      <c r="A928" s="1" t="s">
        <v>269</v>
      </c>
      <c r="B928" s="2" t="s">
        <v>213</v>
      </c>
      <c r="C928" s="2" t="s">
        <v>110</v>
      </c>
      <c r="D928" s="2" t="s">
        <v>111</v>
      </c>
      <c r="E928" s="2">
        <v>2022</v>
      </c>
      <c r="F928" s="2" t="s">
        <v>1779</v>
      </c>
      <c r="G928" s="2" t="s">
        <v>3092</v>
      </c>
      <c r="H928" s="2" t="s">
        <v>3092</v>
      </c>
      <c r="I928" s="1" t="s">
        <v>4246</v>
      </c>
      <c r="J928" s="1" t="s">
        <v>4247</v>
      </c>
      <c r="K928" s="17"/>
      <c r="L928" s="80"/>
      <c r="M928" s="15"/>
      <c r="N928" s="15"/>
      <c r="O928" s="15"/>
      <c r="P928" s="15"/>
      <c r="Q928" s="15"/>
      <c r="R928" s="15"/>
      <c r="S928" s="15"/>
      <c r="T928" s="15"/>
      <c r="U928" s="15"/>
      <c r="V928" s="15"/>
      <c r="W928" s="60" t="s">
        <v>4341</v>
      </c>
    </row>
    <row r="929" spans="1:23" s="79" customFormat="1" ht="38.25" x14ac:dyDescent="0.2">
      <c r="A929" s="1" t="s">
        <v>269</v>
      </c>
      <c r="B929" s="2" t="s">
        <v>213</v>
      </c>
      <c r="C929" s="2" t="s">
        <v>110</v>
      </c>
      <c r="D929" s="2" t="s">
        <v>111</v>
      </c>
      <c r="E929" s="2">
        <v>2022</v>
      </c>
      <c r="F929" s="2" t="s">
        <v>1785</v>
      </c>
      <c r="G929" s="2" t="s">
        <v>3092</v>
      </c>
      <c r="H929" s="2" t="s">
        <v>3092</v>
      </c>
      <c r="I929" s="1" t="s">
        <v>4248</v>
      </c>
      <c r="J929" s="1" t="s">
        <v>4249</v>
      </c>
      <c r="K929" s="17"/>
      <c r="L929" s="54"/>
      <c r="M929" s="39"/>
      <c r="N929" s="39"/>
      <c r="O929" s="39"/>
      <c r="P929" s="39"/>
      <c r="Q929" s="39"/>
      <c r="R929" s="39"/>
      <c r="S929" s="39"/>
      <c r="T929" s="39"/>
      <c r="U929" s="39"/>
      <c r="V929" s="39"/>
      <c r="W929" s="60" t="s">
        <v>4341</v>
      </c>
    </row>
    <row r="930" spans="1:23" s="79" customFormat="1" ht="38.25" x14ac:dyDescent="0.2">
      <c r="A930" s="1" t="s">
        <v>269</v>
      </c>
      <c r="B930" s="2" t="s">
        <v>213</v>
      </c>
      <c r="C930" s="2" t="s">
        <v>110</v>
      </c>
      <c r="D930" s="2" t="s">
        <v>111</v>
      </c>
      <c r="E930" s="2">
        <v>2022</v>
      </c>
      <c r="F930" s="2" t="s">
        <v>1789</v>
      </c>
      <c r="G930" s="2" t="s">
        <v>3092</v>
      </c>
      <c r="H930" s="2" t="s">
        <v>3092</v>
      </c>
      <c r="I930" s="1" t="s">
        <v>4250</v>
      </c>
      <c r="J930" s="1" t="s">
        <v>4251</v>
      </c>
      <c r="K930" s="17"/>
      <c r="L930" s="54"/>
      <c r="M930" s="39"/>
      <c r="N930" s="39"/>
      <c r="O930" s="39"/>
      <c r="P930" s="39"/>
      <c r="Q930" s="39"/>
      <c r="R930" s="39"/>
      <c r="S930" s="39"/>
      <c r="T930" s="39"/>
      <c r="U930" s="39"/>
      <c r="V930" s="39"/>
      <c r="W930" s="60" t="s">
        <v>4341</v>
      </c>
    </row>
    <row r="931" spans="1:23" s="79" customFormat="1" ht="51" x14ac:dyDescent="0.2">
      <c r="A931" s="1" t="s">
        <v>269</v>
      </c>
      <c r="B931" s="2" t="s">
        <v>213</v>
      </c>
      <c r="C931" s="2" t="s">
        <v>110</v>
      </c>
      <c r="D931" s="2" t="s">
        <v>111</v>
      </c>
      <c r="E931" s="2">
        <v>2022</v>
      </c>
      <c r="F931" s="2" t="s">
        <v>311</v>
      </c>
      <c r="G931" s="2" t="s">
        <v>3092</v>
      </c>
      <c r="H931" s="2" t="s">
        <v>3092</v>
      </c>
      <c r="I931" s="1" t="s">
        <v>4252</v>
      </c>
      <c r="J931" s="1" t="s">
        <v>4253</v>
      </c>
      <c r="K931" s="17"/>
      <c r="L931" s="54"/>
      <c r="M931" s="39"/>
      <c r="N931" s="39"/>
      <c r="O931" s="39"/>
      <c r="P931" s="39"/>
      <c r="Q931" s="39"/>
      <c r="R931" s="39"/>
      <c r="S931" s="39"/>
      <c r="T931" s="39"/>
      <c r="U931" s="39"/>
      <c r="V931" s="39"/>
      <c r="W931" s="60" t="s">
        <v>4341</v>
      </c>
    </row>
    <row r="932" spans="1:23" s="79" customFormat="1" ht="38.25" x14ac:dyDescent="0.2">
      <c r="A932" s="1" t="s">
        <v>269</v>
      </c>
      <c r="B932" s="2" t="s">
        <v>213</v>
      </c>
      <c r="C932" s="2" t="s">
        <v>110</v>
      </c>
      <c r="D932" s="2" t="s">
        <v>111</v>
      </c>
      <c r="E932" s="2">
        <v>2022</v>
      </c>
      <c r="F932" s="2" t="s">
        <v>1794</v>
      </c>
      <c r="G932" s="2" t="s">
        <v>3092</v>
      </c>
      <c r="H932" s="2" t="s">
        <v>3092</v>
      </c>
      <c r="I932" s="1" t="s">
        <v>4254</v>
      </c>
      <c r="J932" s="1" t="s">
        <v>4255</v>
      </c>
      <c r="K932" s="17"/>
      <c r="L932" s="54"/>
      <c r="M932" s="39"/>
      <c r="N932" s="39"/>
      <c r="O932" s="39"/>
      <c r="P932" s="39"/>
      <c r="Q932" s="39"/>
      <c r="R932" s="39"/>
      <c r="S932" s="39"/>
      <c r="T932" s="39"/>
      <c r="U932" s="39"/>
      <c r="V932" s="39"/>
      <c r="W932" s="60" t="s">
        <v>4341</v>
      </c>
    </row>
    <row r="933" spans="1:23" s="79" customFormat="1" ht="38.25" x14ac:dyDescent="0.2">
      <c r="A933" s="1" t="s">
        <v>269</v>
      </c>
      <c r="B933" s="2" t="s">
        <v>213</v>
      </c>
      <c r="C933" s="2" t="s">
        <v>110</v>
      </c>
      <c r="D933" s="2" t="s">
        <v>111</v>
      </c>
      <c r="E933" s="2">
        <v>2022</v>
      </c>
      <c r="F933" s="2" t="s">
        <v>1796</v>
      </c>
      <c r="G933" s="2" t="s">
        <v>3092</v>
      </c>
      <c r="H933" s="2" t="s">
        <v>3092</v>
      </c>
      <c r="I933" s="1" t="s">
        <v>4256</v>
      </c>
      <c r="J933" s="1" t="s">
        <v>4257</v>
      </c>
      <c r="K933" s="17"/>
      <c r="L933" s="54"/>
      <c r="M933" s="39"/>
      <c r="N933" s="39"/>
      <c r="O933" s="39"/>
      <c r="P933" s="39"/>
      <c r="Q933" s="39"/>
      <c r="R933" s="39"/>
      <c r="S933" s="39"/>
      <c r="T933" s="39"/>
      <c r="U933" s="39"/>
      <c r="V933" s="39"/>
      <c r="W933" s="60" t="s">
        <v>4341</v>
      </c>
    </row>
    <row r="934" spans="1:23" s="79" customFormat="1" ht="51" x14ac:dyDescent="0.2">
      <c r="A934" s="1" t="s">
        <v>269</v>
      </c>
      <c r="B934" s="2" t="s">
        <v>213</v>
      </c>
      <c r="C934" s="2" t="s">
        <v>110</v>
      </c>
      <c r="D934" s="2" t="s">
        <v>111</v>
      </c>
      <c r="E934" s="2">
        <v>2022</v>
      </c>
      <c r="F934" s="2" t="s">
        <v>1798</v>
      </c>
      <c r="G934" s="2" t="s">
        <v>3092</v>
      </c>
      <c r="H934" s="2" t="s">
        <v>3092</v>
      </c>
      <c r="I934" s="1" t="s">
        <v>4258</v>
      </c>
      <c r="J934" s="1" t="s">
        <v>4259</v>
      </c>
      <c r="K934" s="17"/>
      <c r="L934" s="54"/>
      <c r="M934" s="39"/>
      <c r="N934" s="39"/>
      <c r="O934" s="39"/>
      <c r="P934" s="39"/>
      <c r="Q934" s="39"/>
      <c r="R934" s="39"/>
      <c r="S934" s="39"/>
      <c r="T934" s="39"/>
      <c r="U934" s="39"/>
      <c r="V934" s="39"/>
      <c r="W934" s="60" t="s">
        <v>4341</v>
      </c>
    </row>
    <row r="935" spans="1:23" s="79" customFormat="1" ht="38.25" x14ac:dyDescent="0.2">
      <c r="A935" s="1" t="s">
        <v>270</v>
      </c>
      <c r="B935" s="2" t="s">
        <v>271</v>
      </c>
      <c r="C935" s="2" t="s">
        <v>110</v>
      </c>
      <c r="D935" s="2" t="s">
        <v>111</v>
      </c>
      <c r="E935" s="2">
        <v>2022</v>
      </c>
      <c r="F935" s="2" t="s">
        <v>1785</v>
      </c>
      <c r="G935" s="2" t="s">
        <v>3092</v>
      </c>
      <c r="H935" s="2" t="s">
        <v>3092</v>
      </c>
      <c r="I935" s="1" t="s">
        <v>4260</v>
      </c>
      <c r="J935" s="1" t="s">
        <v>4261</v>
      </c>
      <c r="K935" s="17"/>
      <c r="L935" s="54"/>
      <c r="M935" s="39"/>
      <c r="N935" s="39"/>
      <c r="O935" s="39"/>
      <c r="P935" s="39"/>
      <c r="Q935" s="39"/>
      <c r="R935" s="39"/>
      <c r="S935" s="39"/>
      <c r="T935" s="39"/>
      <c r="U935" s="39"/>
      <c r="V935" s="39"/>
      <c r="W935" s="60" t="s">
        <v>4341</v>
      </c>
    </row>
    <row r="936" spans="1:23" s="79" customFormat="1" ht="38.25" x14ac:dyDescent="0.2">
      <c r="A936" s="1" t="s">
        <v>270</v>
      </c>
      <c r="B936" s="2" t="s">
        <v>271</v>
      </c>
      <c r="C936" s="2" t="s">
        <v>110</v>
      </c>
      <c r="D936" s="2" t="s">
        <v>111</v>
      </c>
      <c r="E936" s="2">
        <v>2022</v>
      </c>
      <c r="F936" s="2" t="s">
        <v>1787</v>
      </c>
      <c r="G936" s="2" t="s">
        <v>3092</v>
      </c>
      <c r="H936" s="2" t="s">
        <v>3092</v>
      </c>
      <c r="I936" s="1" t="s">
        <v>4262</v>
      </c>
      <c r="J936" s="1" t="s">
        <v>4263</v>
      </c>
      <c r="K936" s="17"/>
      <c r="L936" s="54"/>
      <c r="M936" s="39"/>
      <c r="N936" s="39"/>
      <c r="O936" s="39"/>
      <c r="P936" s="39"/>
      <c r="Q936" s="39"/>
      <c r="R936" s="39"/>
      <c r="S936" s="39"/>
      <c r="T936" s="39"/>
      <c r="U936" s="39"/>
      <c r="V936" s="39"/>
      <c r="W936" s="60" t="s">
        <v>4341</v>
      </c>
    </row>
    <row r="937" spans="1:23" s="79" customFormat="1" ht="38.25" x14ac:dyDescent="0.2">
      <c r="A937" s="1" t="s">
        <v>270</v>
      </c>
      <c r="B937" s="2" t="s">
        <v>271</v>
      </c>
      <c r="C937" s="2" t="s">
        <v>110</v>
      </c>
      <c r="D937" s="2" t="s">
        <v>111</v>
      </c>
      <c r="E937" s="2">
        <v>2022</v>
      </c>
      <c r="F937" s="2" t="s">
        <v>1796</v>
      </c>
      <c r="G937" s="2" t="s">
        <v>3092</v>
      </c>
      <c r="H937" s="2" t="s">
        <v>3092</v>
      </c>
      <c r="I937" s="1" t="s">
        <v>4264</v>
      </c>
      <c r="J937" s="1" t="s">
        <v>4265</v>
      </c>
      <c r="K937" s="17"/>
      <c r="L937" s="54"/>
      <c r="M937" s="39"/>
      <c r="N937" s="39"/>
      <c r="O937" s="39"/>
      <c r="P937" s="39"/>
      <c r="Q937" s="39"/>
      <c r="R937" s="39"/>
      <c r="S937" s="39"/>
      <c r="T937" s="39"/>
      <c r="U937" s="39"/>
      <c r="V937" s="39"/>
      <c r="W937" s="60" t="s">
        <v>4341</v>
      </c>
    </row>
    <row r="938" spans="1:23" s="79" customFormat="1" ht="76.5" x14ac:dyDescent="0.2">
      <c r="A938" s="1" t="s">
        <v>176</v>
      </c>
      <c r="B938" s="2" t="s">
        <v>29</v>
      </c>
      <c r="C938" s="2" t="s">
        <v>177</v>
      </c>
      <c r="D938" s="2" t="s">
        <v>58</v>
      </c>
      <c r="E938" s="2">
        <v>2022</v>
      </c>
      <c r="F938" s="2" t="s">
        <v>1776</v>
      </c>
      <c r="G938" s="2" t="s">
        <v>3095</v>
      </c>
      <c r="H938" s="2" t="s">
        <v>3092</v>
      </c>
      <c r="I938" s="1" t="s">
        <v>14</v>
      </c>
      <c r="J938" s="1" t="s">
        <v>4266</v>
      </c>
      <c r="K938" s="17"/>
      <c r="L938" s="54">
        <v>0.21099999999999999</v>
      </c>
      <c r="M938" s="39"/>
      <c r="N938" s="39"/>
      <c r="O938" s="39">
        <v>511.02</v>
      </c>
      <c r="P938" s="39"/>
      <c r="Q938" s="39"/>
      <c r="R938" s="39"/>
      <c r="S938" s="39"/>
      <c r="T938" s="39"/>
      <c r="U938" s="39"/>
      <c r="V938" s="39"/>
      <c r="W938" s="60"/>
    </row>
    <row r="939" spans="1:23" s="79" customFormat="1" ht="76.5" x14ac:dyDescent="0.2">
      <c r="A939" s="1" t="s">
        <v>176</v>
      </c>
      <c r="B939" s="2" t="s">
        <v>29</v>
      </c>
      <c r="C939" s="2" t="s">
        <v>177</v>
      </c>
      <c r="D939" s="2" t="s">
        <v>58</v>
      </c>
      <c r="E939" s="2">
        <v>2022</v>
      </c>
      <c r="F939" s="2" t="s">
        <v>1779</v>
      </c>
      <c r="G939" s="2" t="s">
        <v>3095</v>
      </c>
      <c r="H939" s="2" t="s">
        <v>3092</v>
      </c>
      <c r="I939" s="1" t="s">
        <v>14</v>
      </c>
      <c r="J939" s="1" t="s">
        <v>4267</v>
      </c>
      <c r="K939" s="17"/>
      <c r="L939" s="54">
        <v>0.20699999999999999</v>
      </c>
      <c r="M939" s="39"/>
      <c r="N939" s="39"/>
      <c r="O939" s="39">
        <v>454.54</v>
      </c>
      <c r="P939" s="39"/>
      <c r="Q939" s="39"/>
      <c r="R939" s="39"/>
      <c r="S939" s="39"/>
      <c r="T939" s="39"/>
      <c r="U939" s="39"/>
      <c r="V939" s="39"/>
      <c r="W939" s="60"/>
    </row>
    <row r="940" spans="1:23" s="79" customFormat="1" ht="63.75" x14ac:dyDescent="0.2">
      <c r="A940" s="1" t="s">
        <v>176</v>
      </c>
      <c r="B940" s="2" t="s">
        <v>29</v>
      </c>
      <c r="C940" s="2" t="s">
        <v>177</v>
      </c>
      <c r="D940" s="2" t="s">
        <v>58</v>
      </c>
      <c r="E940" s="2">
        <v>2022</v>
      </c>
      <c r="F940" s="2" t="s">
        <v>1781</v>
      </c>
      <c r="G940" s="2" t="s">
        <v>3095</v>
      </c>
      <c r="H940" s="2" t="s">
        <v>3092</v>
      </c>
      <c r="I940" s="1" t="s">
        <v>14</v>
      </c>
      <c r="J940" s="1" t="s">
        <v>4268</v>
      </c>
      <c r="K940" s="17"/>
      <c r="L940" s="54">
        <v>0.21099999999999999</v>
      </c>
      <c r="M940" s="39"/>
      <c r="N940" s="39"/>
      <c r="O940" s="39">
        <v>524.59</v>
      </c>
      <c r="P940" s="39"/>
      <c r="Q940" s="39"/>
      <c r="R940" s="39"/>
      <c r="S940" s="39"/>
      <c r="T940" s="39"/>
      <c r="U940" s="39"/>
      <c r="V940" s="39"/>
      <c r="W940" s="60"/>
    </row>
    <row r="941" spans="1:23" s="79" customFormat="1" ht="63.75" x14ac:dyDescent="0.2">
      <c r="A941" s="1" t="s">
        <v>176</v>
      </c>
      <c r="B941" s="2" t="s">
        <v>29</v>
      </c>
      <c r="C941" s="2" t="s">
        <v>177</v>
      </c>
      <c r="D941" s="2" t="s">
        <v>58</v>
      </c>
      <c r="E941" s="2">
        <v>2022</v>
      </c>
      <c r="F941" s="2" t="s">
        <v>1783</v>
      </c>
      <c r="G941" s="2" t="s">
        <v>3095</v>
      </c>
      <c r="H941" s="2" t="s">
        <v>3092</v>
      </c>
      <c r="I941" s="1" t="s">
        <v>14</v>
      </c>
      <c r="J941" s="1" t="s">
        <v>4269</v>
      </c>
      <c r="K941" s="17"/>
      <c r="L941" s="54">
        <v>0.214</v>
      </c>
      <c r="M941" s="39"/>
      <c r="N941" s="39"/>
      <c r="O941" s="39">
        <v>518.14</v>
      </c>
      <c r="P941" s="39"/>
      <c r="Q941" s="39"/>
      <c r="R941" s="39"/>
      <c r="S941" s="39"/>
      <c r="T941" s="39"/>
      <c r="U941" s="39"/>
      <c r="V941" s="39"/>
      <c r="W941" s="60"/>
    </row>
    <row r="942" spans="1:23" s="79" customFormat="1" ht="63.75" x14ac:dyDescent="0.2">
      <c r="A942" s="1" t="s">
        <v>176</v>
      </c>
      <c r="B942" s="2" t="s">
        <v>29</v>
      </c>
      <c r="C942" s="2" t="s">
        <v>177</v>
      </c>
      <c r="D942" s="2" t="s">
        <v>58</v>
      </c>
      <c r="E942" s="2">
        <v>2022</v>
      </c>
      <c r="F942" s="2" t="s">
        <v>1785</v>
      </c>
      <c r="G942" s="2" t="s">
        <v>3095</v>
      </c>
      <c r="H942" s="2" t="s">
        <v>3092</v>
      </c>
      <c r="I942" s="1" t="s">
        <v>14</v>
      </c>
      <c r="J942" s="1" t="s">
        <v>4270</v>
      </c>
      <c r="K942" s="17"/>
      <c r="L942" s="54">
        <v>0.222</v>
      </c>
      <c r="M942" s="39"/>
      <c r="N942" s="39"/>
      <c r="O942" s="39">
        <v>542.34</v>
      </c>
      <c r="P942" s="39"/>
      <c r="Q942" s="39"/>
      <c r="R942" s="39"/>
      <c r="S942" s="39"/>
      <c r="T942" s="39"/>
      <c r="U942" s="39"/>
      <c r="V942" s="39"/>
      <c r="W942" s="60"/>
    </row>
    <row r="943" spans="1:23" s="79" customFormat="1" ht="63.75" x14ac:dyDescent="0.2">
      <c r="A943" s="1" t="s">
        <v>176</v>
      </c>
      <c r="B943" s="2" t="s">
        <v>29</v>
      </c>
      <c r="C943" s="2" t="s">
        <v>177</v>
      </c>
      <c r="D943" s="2" t="s">
        <v>58</v>
      </c>
      <c r="E943" s="2">
        <v>2022</v>
      </c>
      <c r="F943" s="2" t="s">
        <v>1787</v>
      </c>
      <c r="G943" s="2" t="s">
        <v>3095</v>
      </c>
      <c r="H943" s="2" t="s">
        <v>3092</v>
      </c>
      <c r="I943" s="1" t="s">
        <v>14</v>
      </c>
      <c r="J943" s="1" t="s">
        <v>4271</v>
      </c>
      <c r="K943" s="17"/>
      <c r="L943" s="54">
        <v>0.22700000000000001</v>
      </c>
      <c r="M943" s="39"/>
      <c r="N943" s="39"/>
      <c r="O943" s="39">
        <v>559.79</v>
      </c>
      <c r="P943" s="39"/>
      <c r="Q943" s="39"/>
      <c r="R943" s="39"/>
      <c r="S943" s="39"/>
      <c r="T943" s="39"/>
      <c r="U943" s="39"/>
      <c r="V943" s="39"/>
      <c r="W943" s="60"/>
    </row>
    <row r="944" spans="1:23" s="79" customFormat="1" ht="89.25" x14ac:dyDescent="0.2">
      <c r="A944" s="1" t="s">
        <v>176</v>
      </c>
      <c r="B944" s="2" t="s">
        <v>29</v>
      </c>
      <c r="C944" s="2" t="s">
        <v>177</v>
      </c>
      <c r="D944" s="2" t="s">
        <v>58</v>
      </c>
      <c r="E944" s="2">
        <v>2022</v>
      </c>
      <c r="F944" s="2" t="s">
        <v>1789</v>
      </c>
      <c r="G944" s="2" t="s">
        <v>3095</v>
      </c>
      <c r="H944" s="2" t="s">
        <v>3092</v>
      </c>
      <c r="I944" s="1" t="s">
        <v>14</v>
      </c>
      <c r="J944" s="1" t="s">
        <v>4272</v>
      </c>
      <c r="K944" s="17"/>
      <c r="L944" s="54">
        <v>0.21099999999999999</v>
      </c>
      <c r="M944" s="39"/>
      <c r="N944" s="39"/>
      <c r="O944" s="39">
        <v>514.36</v>
      </c>
      <c r="P944" s="39"/>
      <c r="Q944" s="39"/>
      <c r="R944" s="39"/>
      <c r="S944" s="39"/>
      <c r="T944" s="39"/>
      <c r="U944" s="39"/>
      <c r="V944" s="39"/>
      <c r="W944" s="60"/>
    </row>
    <row r="945" spans="1:23" s="79" customFormat="1" ht="140.25" x14ac:dyDescent="0.2">
      <c r="A945" s="1" t="s">
        <v>176</v>
      </c>
      <c r="B945" s="2" t="s">
        <v>29</v>
      </c>
      <c r="C945" s="2" t="s">
        <v>177</v>
      </c>
      <c r="D945" s="2" t="s">
        <v>58</v>
      </c>
      <c r="E945" s="2">
        <v>2022</v>
      </c>
      <c r="F945" s="2" t="s">
        <v>1791</v>
      </c>
      <c r="G945" s="2" t="s">
        <v>3095</v>
      </c>
      <c r="H945" s="2" t="s">
        <v>3092</v>
      </c>
      <c r="I945" s="1" t="s">
        <v>14</v>
      </c>
      <c r="J945" s="1" t="s">
        <v>4273</v>
      </c>
      <c r="K945" s="17"/>
      <c r="L945" s="54">
        <v>0.21199999999999999</v>
      </c>
      <c r="M945" s="39"/>
      <c r="N945" s="39"/>
      <c r="O945" s="39">
        <v>507.2</v>
      </c>
      <c r="P945" s="39"/>
      <c r="Q945" s="39"/>
      <c r="R945" s="39"/>
      <c r="S945" s="39"/>
      <c r="T945" s="39"/>
      <c r="U945" s="39"/>
      <c r="V945" s="39"/>
      <c r="W945" s="60"/>
    </row>
    <row r="946" spans="1:23" s="79" customFormat="1" ht="127.5" x14ac:dyDescent="0.2">
      <c r="A946" s="1" t="s">
        <v>176</v>
      </c>
      <c r="B946" s="2" t="s">
        <v>29</v>
      </c>
      <c r="C946" s="2" t="s">
        <v>177</v>
      </c>
      <c r="D946" s="2" t="s">
        <v>58</v>
      </c>
      <c r="E946" s="2">
        <v>2022</v>
      </c>
      <c r="F946" s="2" t="s">
        <v>311</v>
      </c>
      <c r="G946" s="2" t="s">
        <v>3095</v>
      </c>
      <c r="H946" s="2" t="s">
        <v>3092</v>
      </c>
      <c r="I946" s="1" t="s">
        <v>14</v>
      </c>
      <c r="J946" s="1" t="s">
        <v>4274</v>
      </c>
      <c r="K946" s="17"/>
      <c r="L946" s="54">
        <v>0.219</v>
      </c>
      <c r="M946" s="39"/>
      <c r="N946" s="39"/>
      <c r="O946" s="39">
        <v>524.71</v>
      </c>
      <c r="P946" s="39"/>
      <c r="Q946" s="39"/>
      <c r="R946" s="39"/>
      <c r="S946" s="39"/>
      <c r="T946" s="39"/>
      <c r="U946" s="39"/>
      <c r="V946" s="39"/>
      <c r="W946" s="60"/>
    </row>
    <row r="947" spans="1:23" s="79" customFormat="1" ht="127.5" x14ac:dyDescent="0.2">
      <c r="A947" s="1" t="s">
        <v>176</v>
      </c>
      <c r="B947" s="2" t="s">
        <v>29</v>
      </c>
      <c r="C947" s="2" t="s">
        <v>177</v>
      </c>
      <c r="D947" s="2" t="s">
        <v>58</v>
      </c>
      <c r="E947" s="2">
        <v>2022</v>
      </c>
      <c r="F947" s="2" t="s">
        <v>1794</v>
      </c>
      <c r="G947" s="2" t="s">
        <v>3095</v>
      </c>
      <c r="H947" s="2" t="s">
        <v>3092</v>
      </c>
      <c r="I947" s="1" t="s">
        <v>14</v>
      </c>
      <c r="J947" s="1" t="s">
        <v>4275</v>
      </c>
      <c r="K947" s="17"/>
      <c r="L947" s="54">
        <v>0.218</v>
      </c>
      <c r="M947" s="39"/>
      <c r="N947" s="39"/>
      <c r="O947" s="39">
        <v>504.35</v>
      </c>
      <c r="P947" s="39"/>
      <c r="Q947" s="39"/>
      <c r="R947" s="39"/>
      <c r="S947" s="39"/>
      <c r="T947" s="39"/>
      <c r="U947" s="39"/>
      <c r="V947" s="39"/>
      <c r="W947" s="60"/>
    </row>
    <row r="948" spans="1:23" s="79" customFormat="1" ht="114.75" x14ac:dyDescent="0.2">
      <c r="A948" s="1" t="s">
        <v>176</v>
      </c>
      <c r="B948" s="2" t="s">
        <v>29</v>
      </c>
      <c r="C948" s="2" t="s">
        <v>177</v>
      </c>
      <c r="D948" s="2" t="s">
        <v>58</v>
      </c>
      <c r="E948" s="2">
        <v>2022</v>
      </c>
      <c r="F948" s="2" t="s">
        <v>1796</v>
      </c>
      <c r="G948" s="2" t="s">
        <v>3095</v>
      </c>
      <c r="H948" s="2" t="s">
        <v>3092</v>
      </c>
      <c r="I948" s="1" t="s">
        <v>14</v>
      </c>
      <c r="J948" s="1" t="s">
        <v>4276</v>
      </c>
      <c r="K948" s="17"/>
      <c r="L948" s="54">
        <v>0.214</v>
      </c>
      <c r="M948" s="39"/>
      <c r="N948" s="39"/>
      <c r="O948" s="39">
        <v>501.32</v>
      </c>
      <c r="P948" s="39"/>
      <c r="Q948" s="39"/>
      <c r="R948" s="39"/>
      <c r="S948" s="39"/>
      <c r="T948" s="39"/>
      <c r="U948" s="39"/>
      <c r="V948" s="39"/>
      <c r="W948" s="60"/>
    </row>
    <row r="949" spans="1:23" s="79" customFormat="1" ht="89.25" x14ac:dyDescent="0.2">
      <c r="A949" s="1" t="s">
        <v>176</v>
      </c>
      <c r="B949" s="2" t="s">
        <v>29</v>
      </c>
      <c r="C949" s="2" t="s">
        <v>177</v>
      </c>
      <c r="D949" s="2" t="s">
        <v>58</v>
      </c>
      <c r="E949" s="2">
        <v>2022</v>
      </c>
      <c r="F949" s="2" t="s">
        <v>1798</v>
      </c>
      <c r="G949" s="2" t="s">
        <v>3095</v>
      </c>
      <c r="H949" s="2" t="s">
        <v>3092</v>
      </c>
      <c r="I949" s="1" t="s">
        <v>14</v>
      </c>
      <c r="J949" s="1" t="s">
        <v>4277</v>
      </c>
      <c r="K949" s="17"/>
      <c r="L949" s="54">
        <v>0.21199999999999999</v>
      </c>
      <c r="M949" s="39"/>
      <c r="N949" s="39"/>
      <c r="O949" s="39">
        <v>509.65</v>
      </c>
      <c r="P949" s="39"/>
      <c r="Q949" s="39"/>
      <c r="R949" s="39"/>
      <c r="S949" s="39"/>
      <c r="T949" s="39"/>
      <c r="U949" s="39"/>
      <c r="V949" s="39"/>
      <c r="W949" s="60"/>
    </row>
    <row r="950" spans="1:23" s="79" customFormat="1" ht="25.5" x14ac:dyDescent="0.2">
      <c r="A950" s="1" t="s">
        <v>116</v>
      </c>
      <c r="B950" s="2" t="s">
        <v>38</v>
      </c>
      <c r="C950" s="2" t="s">
        <v>117</v>
      </c>
      <c r="D950" s="2" t="s">
        <v>118</v>
      </c>
      <c r="E950" s="2">
        <v>2022</v>
      </c>
      <c r="F950" s="2" t="s">
        <v>1776</v>
      </c>
      <c r="G950" s="2" t="s">
        <v>3095</v>
      </c>
      <c r="H950" s="2" t="s">
        <v>3092</v>
      </c>
      <c r="I950" s="1" t="s">
        <v>14</v>
      </c>
      <c r="J950" s="1" t="s">
        <v>4278</v>
      </c>
      <c r="K950" s="17"/>
      <c r="L950" s="54">
        <v>0.16370000000000001</v>
      </c>
      <c r="M950" s="39">
        <f>1041.67/2</f>
        <v>520.83500000000004</v>
      </c>
      <c r="N950" s="39">
        <f>1041.67/2</f>
        <v>520.83500000000004</v>
      </c>
      <c r="O950" s="3"/>
      <c r="P950" s="39"/>
      <c r="Q950" s="39"/>
      <c r="R950" s="39"/>
      <c r="S950" s="39"/>
      <c r="T950" s="39"/>
      <c r="U950" s="39"/>
      <c r="V950" s="39"/>
      <c r="W950" s="60" t="s">
        <v>4279</v>
      </c>
    </row>
    <row r="951" spans="1:23" s="79" customFormat="1" ht="38.25" x14ac:dyDescent="0.2">
      <c r="A951" s="1" t="s">
        <v>116</v>
      </c>
      <c r="B951" s="2" t="s">
        <v>38</v>
      </c>
      <c r="C951" s="2" t="s">
        <v>117</v>
      </c>
      <c r="D951" s="2" t="s">
        <v>118</v>
      </c>
      <c r="E951" s="2">
        <v>2022</v>
      </c>
      <c r="F951" s="2" t="s">
        <v>1779</v>
      </c>
      <c r="G951" s="2" t="s">
        <v>3095</v>
      </c>
      <c r="H951" s="2" t="s">
        <v>3092</v>
      </c>
      <c r="I951" s="1" t="s">
        <v>14</v>
      </c>
      <c r="J951" s="1" t="s">
        <v>4280</v>
      </c>
      <c r="K951" s="17"/>
      <c r="L951" s="54">
        <v>0.15840000000000001</v>
      </c>
      <c r="M951" s="39">
        <f>828.83/2</f>
        <v>414.41500000000002</v>
      </c>
      <c r="N951" s="39">
        <f>828.83/2</f>
        <v>414.41500000000002</v>
      </c>
      <c r="O951" s="39"/>
      <c r="P951" s="39"/>
      <c r="Q951" s="39"/>
      <c r="R951" s="39"/>
      <c r="S951" s="39"/>
      <c r="T951" s="39"/>
      <c r="U951" s="39"/>
      <c r="V951" s="39"/>
      <c r="W951" s="60" t="s">
        <v>4279</v>
      </c>
    </row>
    <row r="952" spans="1:23" s="79" customFormat="1" ht="38.25" x14ac:dyDescent="0.2">
      <c r="A952" s="1" t="s">
        <v>116</v>
      </c>
      <c r="B952" s="2" t="s">
        <v>38</v>
      </c>
      <c r="C952" s="2" t="s">
        <v>117</v>
      </c>
      <c r="D952" s="2" t="s">
        <v>118</v>
      </c>
      <c r="E952" s="2">
        <v>2022</v>
      </c>
      <c r="F952" s="2" t="s">
        <v>1781</v>
      </c>
      <c r="G952" s="2" t="s">
        <v>3095</v>
      </c>
      <c r="H952" s="2" t="s">
        <v>3092</v>
      </c>
      <c r="I952" s="1" t="s">
        <v>14</v>
      </c>
      <c r="J952" s="1" t="s">
        <v>4281</v>
      </c>
      <c r="K952" s="17"/>
      <c r="L952" s="54">
        <v>0.1653</v>
      </c>
      <c r="M952" s="39">
        <f>1210.4/2</f>
        <v>605.20000000000005</v>
      </c>
      <c r="N952" s="39">
        <f>1210.4/2</f>
        <v>605.20000000000005</v>
      </c>
      <c r="O952" s="39"/>
      <c r="P952" s="39"/>
      <c r="Q952" s="39"/>
      <c r="R952" s="39"/>
      <c r="S952" s="39"/>
      <c r="T952" s="39"/>
      <c r="U952" s="39"/>
      <c r="V952" s="39"/>
      <c r="W952" s="60" t="s">
        <v>4279</v>
      </c>
    </row>
    <row r="953" spans="1:23" s="79" customFormat="1" ht="25.5" x14ac:dyDescent="0.2">
      <c r="A953" s="1" t="s">
        <v>116</v>
      </c>
      <c r="B953" s="2" t="s">
        <v>38</v>
      </c>
      <c r="C953" s="2" t="s">
        <v>117</v>
      </c>
      <c r="D953" s="2" t="s">
        <v>118</v>
      </c>
      <c r="E953" s="2">
        <v>2022</v>
      </c>
      <c r="F953" s="2" t="s">
        <v>1783</v>
      </c>
      <c r="G953" s="2" t="s">
        <v>3095</v>
      </c>
      <c r="H953" s="2" t="s">
        <v>3092</v>
      </c>
      <c r="I953" s="1" t="s">
        <v>14</v>
      </c>
      <c r="J953" s="1" t="s">
        <v>4282</v>
      </c>
      <c r="K953" s="17"/>
      <c r="L953" s="54">
        <v>0.16289999999999999</v>
      </c>
      <c r="M953" s="39">
        <f>947.44/2</f>
        <v>473.72</v>
      </c>
      <c r="N953" s="39">
        <f>947.44/2</f>
        <v>473.72</v>
      </c>
      <c r="O953" s="39"/>
      <c r="P953" s="39"/>
      <c r="Q953" s="39"/>
      <c r="R953" s="39"/>
      <c r="S953" s="39"/>
      <c r="T953" s="39"/>
      <c r="U953" s="39"/>
      <c r="V953" s="39"/>
      <c r="W953" s="60" t="s">
        <v>4279</v>
      </c>
    </row>
    <row r="954" spans="1:23" s="79" customFormat="1" ht="25.5" x14ac:dyDescent="0.2">
      <c r="A954" s="1" t="s">
        <v>116</v>
      </c>
      <c r="B954" s="2" t="s">
        <v>38</v>
      </c>
      <c r="C954" s="2" t="s">
        <v>117</v>
      </c>
      <c r="D954" s="2" t="s">
        <v>118</v>
      </c>
      <c r="E954" s="2">
        <v>2022</v>
      </c>
      <c r="F954" s="2" t="s">
        <v>1785</v>
      </c>
      <c r="G954" s="2" t="s">
        <v>3095</v>
      </c>
      <c r="H954" s="2" t="s">
        <v>3092</v>
      </c>
      <c r="I954" s="1" t="s">
        <v>14</v>
      </c>
      <c r="J954" s="1" t="s">
        <v>4283</v>
      </c>
      <c r="K954" s="17"/>
      <c r="L954" s="54">
        <v>0.16289999999999999</v>
      </c>
      <c r="M954" s="39">
        <f>947.44/2</f>
        <v>473.72</v>
      </c>
      <c r="N954" s="39">
        <f>947.44/2</f>
        <v>473.72</v>
      </c>
      <c r="O954" s="39"/>
      <c r="P954" s="39"/>
      <c r="Q954" s="39"/>
      <c r="R954" s="39"/>
      <c r="S954" s="39"/>
      <c r="T954" s="39"/>
      <c r="U954" s="39"/>
      <c r="V954" s="39"/>
      <c r="W954" s="60" t="s">
        <v>4279</v>
      </c>
    </row>
    <row r="955" spans="1:23" s="79" customFormat="1" ht="25.5" x14ac:dyDescent="0.2">
      <c r="A955" s="1" t="s">
        <v>116</v>
      </c>
      <c r="B955" s="2" t="s">
        <v>38</v>
      </c>
      <c r="C955" s="2" t="s">
        <v>117</v>
      </c>
      <c r="D955" s="2" t="s">
        <v>118</v>
      </c>
      <c r="E955" s="2">
        <v>2022</v>
      </c>
      <c r="F955" s="2" t="s">
        <v>1787</v>
      </c>
      <c r="G955" s="2" t="s">
        <v>3095</v>
      </c>
      <c r="H955" s="2" t="s">
        <v>3092</v>
      </c>
      <c r="I955" s="1" t="s">
        <v>14</v>
      </c>
      <c r="J955" s="1" t="s">
        <v>4284</v>
      </c>
      <c r="K955" s="17"/>
      <c r="L955" s="54">
        <v>0.1706</v>
      </c>
      <c r="M955" s="39">
        <f>1171.86/2</f>
        <v>585.92999999999995</v>
      </c>
      <c r="N955" s="39">
        <f>1171.86/2</f>
        <v>585.92999999999995</v>
      </c>
      <c r="O955" s="39"/>
      <c r="P955" s="39"/>
      <c r="Q955" s="39"/>
      <c r="R955" s="39"/>
      <c r="S955" s="39"/>
      <c r="T955" s="39"/>
      <c r="U955" s="39"/>
      <c r="V955" s="39"/>
      <c r="W955" s="60" t="s">
        <v>4279</v>
      </c>
    </row>
    <row r="956" spans="1:23" s="79" customFormat="1" ht="25.5" x14ac:dyDescent="0.2">
      <c r="A956" s="1" t="s">
        <v>116</v>
      </c>
      <c r="B956" s="2" t="s">
        <v>38</v>
      </c>
      <c r="C956" s="2" t="s">
        <v>117</v>
      </c>
      <c r="D956" s="2" t="s">
        <v>118</v>
      </c>
      <c r="E956" s="2">
        <v>2022</v>
      </c>
      <c r="F956" s="2" t="s">
        <v>1789</v>
      </c>
      <c r="G956" s="2" t="s">
        <v>3095</v>
      </c>
      <c r="H956" s="2" t="s">
        <v>3092</v>
      </c>
      <c r="I956" s="1" t="s">
        <v>14</v>
      </c>
      <c r="J956" s="1" t="s">
        <v>4285</v>
      </c>
      <c r="K956" s="17"/>
      <c r="L956" s="54">
        <v>0.17069999999999999</v>
      </c>
      <c r="M956" s="39">
        <f>1137.75/2</f>
        <v>568.875</v>
      </c>
      <c r="N956" s="39">
        <f>1137.75/2</f>
        <v>568.875</v>
      </c>
      <c r="O956" s="39"/>
      <c r="P956" s="39"/>
      <c r="Q956" s="39"/>
      <c r="R956" s="39"/>
      <c r="S956" s="39"/>
      <c r="T956" s="39"/>
      <c r="U956" s="39"/>
      <c r="V956" s="39"/>
      <c r="W956" s="60" t="s">
        <v>4279</v>
      </c>
    </row>
    <row r="957" spans="1:23" s="79" customFormat="1" ht="25.5" x14ac:dyDescent="0.2">
      <c r="A957" s="1" t="s">
        <v>116</v>
      </c>
      <c r="B957" s="2" t="s">
        <v>38</v>
      </c>
      <c r="C957" s="2" t="s">
        <v>117</v>
      </c>
      <c r="D957" s="2" t="s">
        <v>118</v>
      </c>
      <c r="E957" s="2">
        <v>2022</v>
      </c>
      <c r="F957" s="2" t="s">
        <v>1791</v>
      </c>
      <c r="G957" s="2" t="s">
        <v>3095</v>
      </c>
      <c r="H957" s="2" t="s">
        <v>3092</v>
      </c>
      <c r="I957" s="1" t="s">
        <v>14</v>
      </c>
      <c r="J957" s="1" t="s">
        <v>4286</v>
      </c>
      <c r="K957" s="17"/>
      <c r="L957" s="54">
        <v>0.17069999999999999</v>
      </c>
      <c r="M957" s="39">
        <f>1137.75/2</f>
        <v>568.875</v>
      </c>
      <c r="N957" s="39">
        <f>1137.75/2</f>
        <v>568.875</v>
      </c>
      <c r="O957" s="39"/>
      <c r="P957" s="39"/>
      <c r="Q957" s="39"/>
      <c r="R957" s="39"/>
      <c r="S957" s="39"/>
      <c r="T957" s="39"/>
      <c r="U957" s="39"/>
      <c r="V957" s="39"/>
      <c r="W957" s="60" t="s">
        <v>4279</v>
      </c>
    </row>
    <row r="958" spans="1:23" s="79" customFormat="1" ht="25.5" x14ac:dyDescent="0.2">
      <c r="A958" s="1" t="s">
        <v>116</v>
      </c>
      <c r="B958" s="2" t="s">
        <v>38</v>
      </c>
      <c r="C958" s="2" t="s">
        <v>117</v>
      </c>
      <c r="D958" s="2" t="s">
        <v>118</v>
      </c>
      <c r="E958" s="2">
        <v>2022</v>
      </c>
      <c r="F958" s="2" t="s">
        <v>311</v>
      </c>
      <c r="G958" s="2" t="s">
        <v>3095</v>
      </c>
      <c r="H958" s="2" t="s">
        <v>3092</v>
      </c>
      <c r="I958" s="1" t="s">
        <v>14</v>
      </c>
      <c r="J958" s="1" t="s">
        <v>4287</v>
      </c>
      <c r="K958" s="17"/>
      <c r="L958" s="54" t="s">
        <v>1670</v>
      </c>
      <c r="M958" s="39">
        <f>1122.28/2</f>
        <v>561.14</v>
      </c>
      <c r="N958" s="39">
        <f>1122.28/2</f>
        <v>561.14</v>
      </c>
      <c r="O958" s="39"/>
      <c r="P958" s="39"/>
      <c r="Q958" s="39"/>
      <c r="R958" s="39"/>
      <c r="S958" s="39"/>
      <c r="T958" s="39"/>
      <c r="U958" s="39"/>
      <c r="V958" s="39"/>
      <c r="W958" s="60" t="s">
        <v>4279</v>
      </c>
    </row>
    <row r="959" spans="1:23" s="79" customFormat="1" ht="25.5" x14ac:dyDescent="0.2">
      <c r="A959" s="1" t="s">
        <v>116</v>
      </c>
      <c r="B959" s="2" t="s">
        <v>38</v>
      </c>
      <c r="C959" s="2" t="s">
        <v>117</v>
      </c>
      <c r="D959" s="2" t="s">
        <v>118</v>
      </c>
      <c r="E959" s="2">
        <v>2022</v>
      </c>
      <c r="F959" s="2" t="s">
        <v>1794</v>
      </c>
      <c r="G959" s="2" t="s">
        <v>3095</v>
      </c>
      <c r="H959" s="2" t="s">
        <v>3092</v>
      </c>
      <c r="I959" s="1" t="s">
        <v>14</v>
      </c>
      <c r="J959" s="1" t="s">
        <v>4288</v>
      </c>
      <c r="K959" s="17"/>
      <c r="L959" s="54">
        <v>0.15659999999999999</v>
      </c>
      <c r="M959" s="39">
        <f>945.91/2</f>
        <v>472.95499999999998</v>
      </c>
      <c r="N959" s="39">
        <f>945.91/2</f>
        <v>472.95499999999998</v>
      </c>
      <c r="O959" s="39"/>
      <c r="P959" s="39"/>
      <c r="Q959" s="39"/>
      <c r="R959" s="39"/>
      <c r="S959" s="39"/>
      <c r="T959" s="39"/>
      <c r="U959" s="39"/>
      <c r="V959" s="39"/>
      <c r="W959" s="60" t="s">
        <v>4279</v>
      </c>
    </row>
    <row r="960" spans="1:23" s="79" customFormat="1" ht="25.5" x14ac:dyDescent="0.2">
      <c r="A960" s="1" t="s">
        <v>116</v>
      </c>
      <c r="B960" s="2" t="s">
        <v>38</v>
      </c>
      <c r="C960" s="2" t="s">
        <v>117</v>
      </c>
      <c r="D960" s="2" t="s">
        <v>118</v>
      </c>
      <c r="E960" s="2">
        <v>2022</v>
      </c>
      <c r="F960" s="2" t="s">
        <v>1796</v>
      </c>
      <c r="G960" s="2" t="s">
        <v>3095</v>
      </c>
      <c r="H960" s="2" t="s">
        <v>3092</v>
      </c>
      <c r="I960" s="1" t="s">
        <v>14</v>
      </c>
      <c r="J960" s="1" t="s">
        <v>4289</v>
      </c>
      <c r="K960" s="17"/>
      <c r="L960" s="54">
        <v>0.161</v>
      </c>
      <c r="M960" s="39">
        <f>1047.86/2</f>
        <v>523.92999999999995</v>
      </c>
      <c r="N960" s="39">
        <f>1047.86/2</f>
        <v>523.92999999999995</v>
      </c>
      <c r="O960" s="39"/>
      <c r="P960" s="39"/>
      <c r="Q960" s="39"/>
      <c r="R960" s="39"/>
      <c r="S960" s="39"/>
      <c r="T960" s="39"/>
      <c r="U960" s="39"/>
      <c r="V960" s="39"/>
      <c r="W960" s="60" t="s">
        <v>4279</v>
      </c>
    </row>
    <row r="961" spans="1:23" s="79" customFormat="1" ht="25.5" x14ac:dyDescent="0.2">
      <c r="A961" s="1" t="s">
        <v>116</v>
      </c>
      <c r="B961" s="2" t="s">
        <v>38</v>
      </c>
      <c r="C961" s="2" t="s">
        <v>117</v>
      </c>
      <c r="D961" s="2" t="s">
        <v>118</v>
      </c>
      <c r="E961" s="2">
        <v>2022</v>
      </c>
      <c r="F961" s="2" t="s">
        <v>1798</v>
      </c>
      <c r="G961" s="2" t="s">
        <v>3095</v>
      </c>
      <c r="H961" s="2" t="s">
        <v>3092</v>
      </c>
      <c r="I961" s="1" t="s">
        <v>14</v>
      </c>
      <c r="J961" s="1" t="s">
        <v>4290</v>
      </c>
      <c r="K961" s="17"/>
      <c r="L961" s="54">
        <v>0.1661</v>
      </c>
      <c r="M961" s="39">
        <f>1073.9/2</f>
        <v>536.95000000000005</v>
      </c>
      <c r="N961" s="39">
        <f>1073.9/2</f>
        <v>536.95000000000005</v>
      </c>
      <c r="O961" s="39"/>
      <c r="P961" s="39"/>
      <c r="Q961" s="39"/>
      <c r="R961" s="39"/>
      <c r="S961" s="39"/>
      <c r="T961" s="39"/>
      <c r="U961" s="39"/>
      <c r="V961" s="39"/>
      <c r="W961" s="60" t="s">
        <v>4279</v>
      </c>
    </row>
    <row r="962" spans="1:23" s="79" customFormat="1" ht="127.5" x14ac:dyDescent="0.2">
      <c r="A962" s="1" t="s">
        <v>4291</v>
      </c>
      <c r="B962" s="2" t="s">
        <v>198</v>
      </c>
      <c r="C962" s="2" t="s">
        <v>4292</v>
      </c>
      <c r="D962" s="2" t="s">
        <v>55</v>
      </c>
      <c r="E962" s="2">
        <v>2022</v>
      </c>
      <c r="F962" s="2" t="s">
        <v>1796</v>
      </c>
      <c r="G962" s="2" t="s">
        <v>3092</v>
      </c>
      <c r="H962" s="2" t="s">
        <v>3092</v>
      </c>
      <c r="I962" s="1" t="s">
        <v>4293</v>
      </c>
      <c r="J962" s="1" t="s">
        <v>4294</v>
      </c>
      <c r="K962" s="17"/>
      <c r="L962" s="80" t="s">
        <v>1670</v>
      </c>
      <c r="M962" s="15"/>
      <c r="N962" s="15"/>
      <c r="O962" s="15">
        <f>218.81+187.94+315+452.38</f>
        <v>1174.1300000000001</v>
      </c>
      <c r="P962" s="15"/>
      <c r="Q962" s="15"/>
      <c r="R962" s="15"/>
      <c r="S962" s="15"/>
      <c r="T962" s="15"/>
      <c r="U962" s="15"/>
      <c r="V962" s="15">
        <v>58.6</v>
      </c>
      <c r="W962" s="60" t="s">
        <v>1699</v>
      </c>
    </row>
    <row r="963" spans="1:23" s="79" customFormat="1" ht="38.25" x14ac:dyDescent="0.2">
      <c r="A963" s="1" t="s">
        <v>235</v>
      </c>
      <c r="B963" s="2" t="s">
        <v>196</v>
      </c>
      <c r="C963" s="2" t="s">
        <v>236</v>
      </c>
      <c r="D963" s="2" t="s">
        <v>118</v>
      </c>
      <c r="E963" s="2">
        <v>2022</v>
      </c>
      <c r="F963" s="2" t="s">
        <v>1785</v>
      </c>
      <c r="G963" s="2" t="s">
        <v>3092</v>
      </c>
      <c r="H963" s="2" t="s">
        <v>3092</v>
      </c>
      <c r="I963" s="1" t="s">
        <v>4295</v>
      </c>
      <c r="J963" s="1" t="s">
        <v>403</v>
      </c>
      <c r="K963" s="17"/>
      <c r="L963" s="54"/>
      <c r="M963" s="39"/>
      <c r="N963" s="39"/>
      <c r="O963" s="39"/>
      <c r="P963" s="39"/>
      <c r="Q963" s="39"/>
      <c r="R963" s="39"/>
      <c r="S963" s="39"/>
      <c r="T963" s="39"/>
      <c r="U963" s="39"/>
      <c r="V963" s="39"/>
      <c r="W963" s="60" t="s">
        <v>1695</v>
      </c>
    </row>
    <row r="964" spans="1:23" s="79" customFormat="1" ht="51" x14ac:dyDescent="0.2">
      <c r="A964" s="1" t="s">
        <v>235</v>
      </c>
      <c r="B964" s="2" t="s">
        <v>196</v>
      </c>
      <c r="C964" s="2" t="s">
        <v>236</v>
      </c>
      <c r="D964" s="2" t="s">
        <v>118</v>
      </c>
      <c r="E964" s="2">
        <v>2022</v>
      </c>
      <c r="F964" s="2" t="s">
        <v>1787</v>
      </c>
      <c r="G964" s="2" t="s">
        <v>3092</v>
      </c>
      <c r="H964" s="2" t="s">
        <v>3092</v>
      </c>
      <c r="I964" s="1" t="s">
        <v>4296</v>
      </c>
      <c r="J964" s="1" t="s">
        <v>403</v>
      </c>
      <c r="K964" s="17"/>
      <c r="L964" s="54"/>
      <c r="M964" s="39"/>
      <c r="N964" s="39"/>
      <c r="O964" s="39"/>
      <c r="P964" s="39"/>
      <c r="Q964" s="39"/>
      <c r="R964" s="39"/>
      <c r="S964" s="39"/>
      <c r="T964" s="39"/>
      <c r="U964" s="39"/>
      <c r="V964" s="39"/>
      <c r="W964" s="60" t="s">
        <v>1695</v>
      </c>
    </row>
    <row r="965" spans="1:23" s="79" customFormat="1" ht="63.75" x14ac:dyDescent="0.2">
      <c r="A965" s="1" t="s">
        <v>235</v>
      </c>
      <c r="B965" s="2" t="s">
        <v>196</v>
      </c>
      <c r="C965" s="2" t="s">
        <v>236</v>
      </c>
      <c r="D965" s="2" t="s">
        <v>118</v>
      </c>
      <c r="E965" s="2">
        <v>2022</v>
      </c>
      <c r="F965" s="2" t="s">
        <v>1789</v>
      </c>
      <c r="G965" s="2" t="s">
        <v>3092</v>
      </c>
      <c r="H965" s="2" t="s">
        <v>3092</v>
      </c>
      <c r="I965" s="1" t="s">
        <v>4297</v>
      </c>
      <c r="J965" s="1" t="s">
        <v>403</v>
      </c>
      <c r="K965" s="17"/>
      <c r="L965" s="54"/>
      <c r="M965" s="39"/>
      <c r="N965" s="39"/>
      <c r="O965" s="39"/>
      <c r="P965" s="39"/>
      <c r="Q965" s="39"/>
      <c r="R965" s="39"/>
      <c r="S965" s="39"/>
      <c r="T965" s="39"/>
      <c r="U965" s="39"/>
      <c r="V965" s="39"/>
      <c r="W965" s="60" t="s">
        <v>1695</v>
      </c>
    </row>
    <row r="966" spans="1:23" s="79" customFormat="1" ht="51" x14ac:dyDescent="0.2">
      <c r="A966" s="1" t="s">
        <v>235</v>
      </c>
      <c r="B966" s="2" t="s">
        <v>196</v>
      </c>
      <c r="C966" s="2" t="s">
        <v>236</v>
      </c>
      <c r="D966" s="2" t="s">
        <v>118</v>
      </c>
      <c r="E966" s="2">
        <v>2022</v>
      </c>
      <c r="F966" s="2" t="s">
        <v>1791</v>
      </c>
      <c r="G966" s="2" t="s">
        <v>3092</v>
      </c>
      <c r="H966" s="2" t="s">
        <v>3092</v>
      </c>
      <c r="I966" s="1" t="s">
        <v>4298</v>
      </c>
      <c r="J966" s="1" t="s">
        <v>403</v>
      </c>
      <c r="K966" s="17"/>
      <c r="L966" s="54"/>
      <c r="M966" s="39"/>
      <c r="N966" s="39"/>
      <c r="O966" s="39"/>
      <c r="P966" s="39"/>
      <c r="Q966" s="39"/>
      <c r="R966" s="39"/>
      <c r="S966" s="39"/>
      <c r="T966" s="39"/>
      <c r="U966" s="39"/>
      <c r="V966" s="39"/>
      <c r="W966" s="60" t="s">
        <v>1695</v>
      </c>
    </row>
    <row r="967" spans="1:23" s="79" customFormat="1" ht="51" x14ac:dyDescent="0.2">
      <c r="A967" s="1" t="s">
        <v>235</v>
      </c>
      <c r="B967" s="2" t="s">
        <v>196</v>
      </c>
      <c r="C967" s="2" t="s">
        <v>236</v>
      </c>
      <c r="D967" s="2" t="s">
        <v>118</v>
      </c>
      <c r="E967" s="2">
        <v>2022</v>
      </c>
      <c r="F967" s="2" t="s">
        <v>311</v>
      </c>
      <c r="G967" s="2" t="s">
        <v>3092</v>
      </c>
      <c r="H967" s="2" t="s">
        <v>3092</v>
      </c>
      <c r="I967" s="1" t="s">
        <v>4299</v>
      </c>
      <c r="J967" s="1" t="s">
        <v>403</v>
      </c>
      <c r="K967" s="17"/>
      <c r="L967" s="54"/>
      <c r="M967" s="39"/>
      <c r="N967" s="39"/>
      <c r="O967" s="39"/>
      <c r="P967" s="39"/>
      <c r="Q967" s="39"/>
      <c r="R967" s="39"/>
      <c r="S967" s="39"/>
      <c r="T967" s="39"/>
      <c r="U967" s="39"/>
      <c r="V967" s="39"/>
      <c r="W967" s="60" t="s">
        <v>1695</v>
      </c>
    </row>
    <row r="968" spans="1:23" s="79" customFormat="1" ht="25.5" x14ac:dyDescent="0.2">
      <c r="A968" s="1" t="s">
        <v>306</v>
      </c>
      <c r="B968" s="2" t="s">
        <v>196</v>
      </c>
      <c r="C968" s="2" t="s">
        <v>307</v>
      </c>
      <c r="D968" s="2" t="s">
        <v>230</v>
      </c>
      <c r="E968" s="2">
        <v>2022</v>
      </c>
      <c r="F968" s="2" t="s">
        <v>1789</v>
      </c>
      <c r="G968" s="2" t="s">
        <v>3092</v>
      </c>
      <c r="H968" s="2" t="s">
        <v>3092</v>
      </c>
      <c r="I968" s="1" t="s">
        <v>4300</v>
      </c>
      <c r="J968" s="1" t="s">
        <v>4301</v>
      </c>
      <c r="K968" s="17"/>
      <c r="L968" s="54"/>
      <c r="M968" s="39"/>
      <c r="N968" s="39"/>
      <c r="O968" s="39"/>
      <c r="P968" s="39"/>
      <c r="Q968" s="39"/>
      <c r="R968" s="39"/>
      <c r="S968" s="39"/>
      <c r="T968" s="39"/>
      <c r="U968" s="39"/>
      <c r="V968" s="39"/>
      <c r="W968" s="60" t="s">
        <v>1695</v>
      </c>
    </row>
    <row r="969" spans="1:23" s="79" customFormat="1" ht="25.5" x14ac:dyDescent="0.2">
      <c r="A969" s="1" t="s">
        <v>306</v>
      </c>
      <c r="B969" s="2" t="s">
        <v>196</v>
      </c>
      <c r="C969" s="2" t="s">
        <v>307</v>
      </c>
      <c r="D969" s="2" t="s">
        <v>230</v>
      </c>
      <c r="E969" s="2">
        <v>2022</v>
      </c>
      <c r="F969" s="2" t="s">
        <v>1791</v>
      </c>
      <c r="G969" s="2" t="s">
        <v>3092</v>
      </c>
      <c r="H969" s="2" t="s">
        <v>3092</v>
      </c>
      <c r="I969" s="1" t="s">
        <v>4302</v>
      </c>
      <c r="J969" s="1" t="s">
        <v>4303</v>
      </c>
      <c r="K969" s="17"/>
      <c r="L969" s="54"/>
      <c r="M969" s="39"/>
      <c r="N969" s="39"/>
      <c r="O969" s="39"/>
      <c r="P969" s="39"/>
      <c r="Q969" s="39"/>
      <c r="R969" s="39"/>
      <c r="S969" s="39"/>
      <c r="T969" s="39"/>
      <c r="U969" s="39"/>
      <c r="V969" s="39"/>
      <c r="W969" s="60" t="s">
        <v>1695</v>
      </c>
    </row>
    <row r="970" spans="1:23" s="79" customFormat="1" ht="25.5" x14ac:dyDescent="0.2">
      <c r="A970" s="1" t="s">
        <v>244</v>
      </c>
      <c r="B970" s="2" t="s">
        <v>383</v>
      </c>
      <c r="C970" s="2" t="s">
        <v>245</v>
      </c>
      <c r="D970" s="2" t="s">
        <v>246</v>
      </c>
      <c r="E970" s="2">
        <v>2022</v>
      </c>
      <c r="F970" s="2" t="s">
        <v>1789</v>
      </c>
      <c r="G970" s="2" t="s">
        <v>3092</v>
      </c>
      <c r="H970" s="2" t="s">
        <v>3093</v>
      </c>
      <c r="I970" s="1" t="s">
        <v>4304</v>
      </c>
      <c r="J970" s="1" t="s">
        <v>14</v>
      </c>
      <c r="K970" s="17"/>
      <c r="L970" s="54"/>
      <c r="M970" s="39"/>
      <c r="N970" s="39"/>
      <c r="O970" s="39"/>
      <c r="P970" s="39"/>
      <c r="Q970" s="39"/>
      <c r="R970" s="39"/>
      <c r="S970" s="39"/>
      <c r="T970" s="39"/>
      <c r="U970" s="39"/>
      <c r="V970" s="39"/>
      <c r="W970" s="60" t="s">
        <v>1706</v>
      </c>
    </row>
    <row r="971" spans="1:23" s="79" customFormat="1" ht="25.5" x14ac:dyDescent="0.2">
      <c r="A971" s="1" t="s">
        <v>244</v>
      </c>
      <c r="B971" s="2" t="s">
        <v>383</v>
      </c>
      <c r="C971" s="2" t="s">
        <v>245</v>
      </c>
      <c r="D971" s="2" t="s">
        <v>246</v>
      </c>
      <c r="E971" s="2">
        <v>2022</v>
      </c>
      <c r="F971" s="2" t="s">
        <v>1791</v>
      </c>
      <c r="G971" s="2" t="s">
        <v>3092</v>
      </c>
      <c r="H971" s="2" t="s">
        <v>3093</v>
      </c>
      <c r="I971" s="1" t="s">
        <v>4305</v>
      </c>
      <c r="J971" s="1" t="s">
        <v>14</v>
      </c>
      <c r="K971" s="17"/>
      <c r="L971" s="54"/>
      <c r="M971" s="39"/>
      <c r="N971" s="39"/>
      <c r="O971" s="39"/>
      <c r="P971" s="39"/>
      <c r="Q971" s="39"/>
      <c r="R971" s="39"/>
      <c r="S971" s="39"/>
      <c r="T971" s="39"/>
      <c r="U971" s="39"/>
      <c r="V971" s="39"/>
      <c r="W971" s="60" t="s">
        <v>1706</v>
      </c>
    </row>
    <row r="972" spans="1:23" s="79" customFormat="1" ht="25.5" x14ac:dyDescent="0.2">
      <c r="A972" s="1" t="s">
        <v>244</v>
      </c>
      <c r="B972" s="2" t="s">
        <v>383</v>
      </c>
      <c r="C972" s="2" t="s">
        <v>245</v>
      </c>
      <c r="D972" s="2" t="s">
        <v>246</v>
      </c>
      <c r="E972" s="2">
        <v>2022</v>
      </c>
      <c r="F972" s="2" t="s">
        <v>311</v>
      </c>
      <c r="G972" s="2" t="s">
        <v>3092</v>
      </c>
      <c r="H972" s="2" t="s">
        <v>3093</v>
      </c>
      <c r="I972" s="1" t="s">
        <v>4306</v>
      </c>
      <c r="J972" s="1" t="s">
        <v>14</v>
      </c>
      <c r="K972" s="17"/>
      <c r="L972" s="54"/>
      <c r="M972" s="39"/>
      <c r="N972" s="39"/>
      <c r="O972" s="39"/>
      <c r="P972" s="39"/>
      <c r="Q972" s="39"/>
      <c r="R972" s="39"/>
      <c r="S972" s="39"/>
      <c r="T972" s="39"/>
      <c r="U972" s="39"/>
      <c r="V972" s="39"/>
      <c r="W972" s="60" t="s">
        <v>1706</v>
      </c>
    </row>
    <row r="973" spans="1:23" s="79" customFormat="1" ht="25.5" x14ac:dyDescent="0.2">
      <c r="A973" s="1" t="s">
        <v>244</v>
      </c>
      <c r="B973" s="2" t="s">
        <v>383</v>
      </c>
      <c r="C973" s="2" t="s">
        <v>245</v>
      </c>
      <c r="D973" s="2" t="s">
        <v>246</v>
      </c>
      <c r="E973" s="2">
        <v>2022</v>
      </c>
      <c r="F973" s="2" t="s">
        <v>1794</v>
      </c>
      <c r="G973" s="2" t="s">
        <v>3092</v>
      </c>
      <c r="H973" s="2" t="s">
        <v>3093</v>
      </c>
      <c r="I973" s="1" t="s">
        <v>4307</v>
      </c>
      <c r="J973" s="1" t="s">
        <v>14</v>
      </c>
      <c r="K973" s="17"/>
      <c r="L973" s="54"/>
      <c r="M973" s="39"/>
      <c r="N973" s="39"/>
      <c r="O973" s="39"/>
      <c r="P973" s="39"/>
      <c r="Q973" s="39"/>
      <c r="R973" s="39"/>
      <c r="S973" s="39"/>
      <c r="T973" s="39"/>
      <c r="U973" s="39"/>
      <c r="V973" s="39"/>
      <c r="W973" s="60" t="s">
        <v>1706</v>
      </c>
    </row>
    <row r="974" spans="1:23" s="79" customFormat="1" ht="51" x14ac:dyDescent="0.2">
      <c r="A974" s="1" t="s">
        <v>248</v>
      </c>
      <c r="B974" s="2" t="s">
        <v>32</v>
      </c>
      <c r="C974" s="2" t="s">
        <v>249</v>
      </c>
      <c r="D974" s="2" t="s">
        <v>77</v>
      </c>
      <c r="E974" s="2">
        <v>2022</v>
      </c>
      <c r="F974" s="2" t="s">
        <v>1781</v>
      </c>
      <c r="G974" s="2" t="s">
        <v>3095</v>
      </c>
      <c r="H974" s="2" t="s">
        <v>3092</v>
      </c>
      <c r="I974" s="1" t="s">
        <v>14</v>
      </c>
      <c r="J974" s="1" t="s">
        <v>4308</v>
      </c>
      <c r="K974" s="17"/>
      <c r="L974" s="54">
        <v>0.05</v>
      </c>
      <c r="M974" s="39"/>
      <c r="N974" s="39"/>
      <c r="O974" s="39"/>
      <c r="P974" s="39"/>
      <c r="Q974" s="39"/>
      <c r="R974" s="39"/>
      <c r="S974" s="39"/>
      <c r="T974" s="39"/>
      <c r="U974" s="39"/>
      <c r="V974" s="39">
        <v>143.65</v>
      </c>
      <c r="W974" s="60"/>
    </row>
    <row r="975" spans="1:23" s="79" customFormat="1" ht="51" x14ac:dyDescent="0.2">
      <c r="A975" s="1" t="s">
        <v>248</v>
      </c>
      <c r="B975" s="2" t="s">
        <v>32</v>
      </c>
      <c r="C975" s="2" t="s">
        <v>249</v>
      </c>
      <c r="D975" s="2" t="s">
        <v>77</v>
      </c>
      <c r="E975" s="2">
        <v>2022</v>
      </c>
      <c r="F975" s="2" t="s">
        <v>1789</v>
      </c>
      <c r="G975" s="2" t="s">
        <v>3095</v>
      </c>
      <c r="H975" s="2" t="s">
        <v>3092</v>
      </c>
      <c r="I975" s="1" t="s">
        <v>14</v>
      </c>
      <c r="J975" s="1" t="s">
        <v>4309</v>
      </c>
      <c r="K975" s="17"/>
      <c r="L975" s="54">
        <v>4.1000000000000002E-2</v>
      </c>
      <c r="M975" s="39"/>
      <c r="N975" s="39"/>
      <c r="O975" s="39"/>
      <c r="P975" s="39"/>
      <c r="Q975" s="39"/>
      <c r="R975" s="39"/>
      <c r="S975" s="39"/>
      <c r="T975" s="39"/>
      <c r="U975" s="39"/>
      <c r="V975" s="39">
        <v>141.68</v>
      </c>
      <c r="W975" s="60"/>
    </row>
    <row r="976" spans="1:23" s="79" customFormat="1" ht="51" x14ac:dyDescent="0.2">
      <c r="A976" s="1" t="s">
        <v>248</v>
      </c>
      <c r="B976" s="2" t="s">
        <v>32</v>
      </c>
      <c r="C976" s="2" t="s">
        <v>249</v>
      </c>
      <c r="D976" s="2" t="s">
        <v>77</v>
      </c>
      <c r="E976" s="2">
        <v>2022</v>
      </c>
      <c r="F976" s="2" t="s">
        <v>1794</v>
      </c>
      <c r="G976" s="2" t="s">
        <v>3095</v>
      </c>
      <c r="H976" s="2" t="s">
        <v>3092</v>
      </c>
      <c r="I976" s="1" t="s">
        <v>14</v>
      </c>
      <c r="J976" s="1" t="s">
        <v>4310</v>
      </c>
      <c r="K976" s="17"/>
      <c r="L976" s="54">
        <v>0.03</v>
      </c>
      <c r="M976" s="39"/>
      <c r="N976" s="39"/>
      <c r="O976" s="39"/>
      <c r="P976" s="39"/>
      <c r="Q976" s="39"/>
      <c r="R976" s="39">
        <v>159</v>
      </c>
      <c r="S976" s="39"/>
      <c r="T976" s="39"/>
      <c r="U976" s="39"/>
      <c r="V976" s="39"/>
      <c r="W976" s="60" t="s">
        <v>4311</v>
      </c>
    </row>
    <row r="977" spans="1:23" s="79" customFormat="1" ht="89.25" x14ac:dyDescent="0.2">
      <c r="A977" s="1" t="s">
        <v>81</v>
      </c>
      <c r="B977" s="2" t="s">
        <v>29</v>
      </c>
      <c r="C977" s="2" t="s">
        <v>82</v>
      </c>
      <c r="D977" s="2" t="s">
        <v>58</v>
      </c>
      <c r="E977" s="2">
        <v>2022</v>
      </c>
      <c r="F977" s="2" t="s">
        <v>1776</v>
      </c>
      <c r="G977" s="2" t="s">
        <v>3092</v>
      </c>
      <c r="H977" s="2" t="s">
        <v>3092</v>
      </c>
      <c r="I977" s="1" t="s">
        <v>4312</v>
      </c>
      <c r="J977" s="1" t="s">
        <v>4313</v>
      </c>
      <c r="K977" s="17"/>
      <c r="L977" s="54" t="s">
        <v>1670</v>
      </c>
      <c r="M977" s="39"/>
      <c r="N977" s="39"/>
      <c r="O977" s="39"/>
      <c r="P977" s="39"/>
      <c r="Q977" s="39"/>
      <c r="R977" s="39"/>
      <c r="S977" s="39">
        <v>5.74</v>
      </c>
      <c r="T977" s="39"/>
      <c r="U977" s="39"/>
      <c r="V977" s="39"/>
      <c r="W977" s="60"/>
    </row>
    <row r="978" spans="1:23" s="79" customFormat="1" ht="89.25" x14ac:dyDescent="0.2">
      <c r="A978" s="1" t="s">
        <v>81</v>
      </c>
      <c r="B978" s="2" t="s">
        <v>29</v>
      </c>
      <c r="C978" s="2" t="s">
        <v>82</v>
      </c>
      <c r="D978" s="2" t="s">
        <v>58</v>
      </c>
      <c r="E978" s="2">
        <v>2022</v>
      </c>
      <c r="F978" s="2" t="s">
        <v>1779</v>
      </c>
      <c r="G978" s="2" t="s">
        <v>3092</v>
      </c>
      <c r="H978" s="2" t="s">
        <v>3092</v>
      </c>
      <c r="I978" s="1" t="s">
        <v>4314</v>
      </c>
      <c r="J978" s="1" t="s">
        <v>4315</v>
      </c>
      <c r="K978" s="17"/>
      <c r="L978" s="54" t="s">
        <v>1670</v>
      </c>
      <c r="M978" s="39"/>
      <c r="N978" s="39"/>
      <c r="O978" s="39"/>
      <c r="P978" s="39"/>
      <c r="Q978" s="39"/>
      <c r="R978" s="39"/>
      <c r="S978" s="39">
        <v>5.4</v>
      </c>
      <c r="T978" s="39"/>
      <c r="U978" s="39"/>
      <c r="V978" s="39"/>
      <c r="W978" s="60"/>
    </row>
    <row r="979" spans="1:23" s="79" customFormat="1" ht="89.25" x14ac:dyDescent="0.2">
      <c r="A979" s="1" t="s">
        <v>81</v>
      </c>
      <c r="B979" s="2" t="s">
        <v>29</v>
      </c>
      <c r="C979" s="2" t="s">
        <v>82</v>
      </c>
      <c r="D979" s="2" t="s">
        <v>58</v>
      </c>
      <c r="E979" s="2">
        <v>2022</v>
      </c>
      <c r="F979" s="2" t="s">
        <v>1781</v>
      </c>
      <c r="G979" s="2" t="s">
        <v>3092</v>
      </c>
      <c r="H979" s="2" t="s">
        <v>3092</v>
      </c>
      <c r="I979" s="1" t="s">
        <v>4316</v>
      </c>
      <c r="J979" s="1" t="s">
        <v>4317</v>
      </c>
      <c r="K979" s="17"/>
      <c r="L979" s="54" t="s">
        <v>1670</v>
      </c>
      <c r="M979" s="39"/>
      <c r="N979" s="39"/>
      <c r="O979" s="39"/>
      <c r="P979" s="39"/>
      <c r="Q979" s="39"/>
      <c r="R979" s="39"/>
      <c r="S979" s="39">
        <v>6.6</v>
      </c>
      <c r="T979" s="39"/>
      <c r="U979" s="39"/>
      <c r="V979" s="39"/>
      <c r="W979" s="60"/>
    </row>
    <row r="980" spans="1:23" s="79" customFormat="1" ht="89.25" x14ac:dyDescent="0.2">
      <c r="A980" s="1" t="s">
        <v>81</v>
      </c>
      <c r="B980" s="2" t="s">
        <v>29</v>
      </c>
      <c r="C980" s="2" t="s">
        <v>82</v>
      </c>
      <c r="D980" s="2" t="s">
        <v>58</v>
      </c>
      <c r="E980" s="2">
        <v>2022</v>
      </c>
      <c r="F980" s="2" t="s">
        <v>1783</v>
      </c>
      <c r="G980" s="2" t="s">
        <v>3092</v>
      </c>
      <c r="H980" s="2" t="s">
        <v>3092</v>
      </c>
      <c r="I980" s="1" t="s">
        <v>4318</v>
      </c>
      <c r="J980" s="1" t="s">
        <v>4319</v>
      </c>
      <c r="K980" s="17"/>
      <c r="L980" s="54" t="s">
        <v>1670</v>
      </c>
      <c r="M980" s="39"/>
      <c r="N980" s="39"/>
      <c r="O980" s="39"/>
      <c r="P980" s="39"/>
      <c r="Q980" s="39"/>
      <c r="R980" s="39"/>
      <c r="S980" s="39">
        <v>19.2</v>
      </c>
      <c r="T980" s="39"/>
      <c r="U980" s="39"/>
      <c r="V980" s="39"/>
      <c r="W980" s="60"/>
    </row>
    <row r="981" spans="1:23" s="79" customFormat="1" ht="89.25" x14ac:dyDescent="0.2">
      <c r="A981" s="1" t="s">
        <v>81</v>
      </c>
      <c r="B981" s="2" t="s">
        <v>29</v>
      </c>
      <c r="C981" s="2" t="s">
        <v>82</v>
      </c>
      <c r="D981" s="2" t="s">
        <v>58</v>
      </c>
      <c r="E981" s="2">
        <v>2022</v>
      </c>
      <c r="F981" s="2" t="s">
        <v>1785</v>
      </c>
      <c r="G981" s="2" t="s">
        <v>3092</v>
      </c>
      <c r="H981" s="2" t="s">
        <v>3093</v>
      </c>
      <c r="I981" s="1" t="s">
        <v>4320</v>
      </c>
      <c r="J981" s="1" t="s">
        <v>14</v>
      </c>
      <c r="K981" s="17"/>
      <c r="L981" s="54"/>
      <c r="M981" s="39"/>
      <c r="N981" s="39"/>
      <c r="O981" s="39"/>
      <c r="P981" s="39"/>
      <c r="Q981" s="39"/>
      <c r="R981" s="39"/>
      <c r="S981" s="39"/>
      <c r="T981" s="39"/>
      <c r="U981" s="39"/>
      <c r="V981" s="39"/>
      <c r="W981" s="60"/>
    </row>
    <row r="982" spans="1:23" s="79" customFormat="1" ht="89.25" x14ac:dyDescent="0.2">
      <c r="A982" s="1" t="s">
        <v>81</v>
      </c>
      <c r="B982" s="2" t="s">
        <v>29</v>
      </c>
      <c r="C982" s="2" t="s">
        <v>82</v>
      </c>
      <c r="D982" s="2" t="s">
        <v>58</v>
      </c>
      <c r="E982" s="2">
        <v>2022</v>
      </c>
      <c r="F982" s="2" t="s">
        <v>1787</v>
      </c>
      <c r="G982" s="2" t="s">
        <v>3092</v>
      </c>
      <c r="H982" s="2" t="s">
        <v>3092</v>
      </c>
      <c r="I982" s="1" t="s">
        <v>4321</v>
      </c>
      <c r="J982" s="1" t="s">
        <v>4322</v>
      </c>
      <c r="K982" s="17"/>
      <c r="L982" s="54" t="s">
        <v>1670</v>
      </c>
      <c r="M982" s="39"/>
      <c r="N982" s="39"/>
      <c r="O982" s="39"/>
      <c r="P982" s="39"/>
      <c r="Q982" s="39"/>
      <c r="R982" s="39"/>
      <c r="S982" s="39">
        <v>7.1</v>
      </c>
      <c r="T982" s="39"/>
      <c r="U982" s="39"/>
      <c r="V982" s="39"/>
      <c r="W982" s="60"/>
    </row>
    <row r="983" spans="1:23" s="79" customFormat="1" ht="63.75" x14ac:dyDescent="0.2">
      <c r="A983" s="1" t="s">
        <v>81</v>
      </c>
      <c r="B983" s="2" t="s">
        <v>29</v>
      </c>
      <c r="C983" s="2" t="s">
        <v>82</v>
      </c>
      <c r="D983" s="2" t="s">
        <v>58</v>
      </c>
      <c r="E983" s="2">
        <v>2022</v>
      </c>
      <c r="F983" s="2" t="s">
        <v>1789</v>
      </c>
      <c r="G983" s="2" t="s">
        <v>3092</v>
      </c>
      <c r="H983" s="2" t="s">
        <v>3092</v>
      </c>
      <c r="I983" s="1" t="s">
        <v>4323</v>
      </c>
      <c r="J983" s="1" t="s">
        <v>4324</v>
      </c>
      <c r="K983" s="17"/>
      <c r="L983" s="54" t="s">
        <v>1670</v>
      </c>
      <c r="M983" s="15"/>
      <c r="N983" s="15"/>
      <c r="O983" s="15"/>
      <c r="P983" s="15"/>
      <c r="Q983" s="15"/>
      <c r="R983" s="15"/>
      <c r="S983" s="15">
        <v>6.7</v>
      </c>
      <c r="T983" s="15"/>
      <c r="U983" s="15"/>
      <c r="V983" s="56"/>
      <c r="W983" s="65"/>
    </row>
    <row r="984" spans="1:23" s="79" customFormat="1" ht="63.75" x14ac:dyDescent="0.2">
      <c r="A984" s="1" t="s">
        <v>81</v>
      </c>
      <c r="B984" s="2" t="s">
        <v>29</v>
      </c>
      <c r="C984" s="2" t="s">
        <v>82</v>
      </c>
      <c r="D984" s="2" t="s">
        <v>58</v>
      </c>
      <c r="E984" s="2">
        <v>2022</v>
      </c>
      <c r="F984" s="2" t="s">
        <v>1791</v>
      </c>
      <c r="G984" s="2" t="s">
        <v>3092</v>
      </c>
      <c r="H984" s="2" t="s">
        <v>3092</v>
      </c>
      <c r="I984" s="1" t="s">
        <v>4325</v>
      </c>
      <c r="J984" s="1" t="s">
        <v>4326</v>
      </c>
      <c r="K984" s="17"/>
      <c r="L984" s="54" t="s">
        <v>1670</v>
      </c>
      <c r="M984" s="39"/>
      <c r="N984" s="39"/>
      <c r="O984" s="39"/>
      <c r="P984" s="39"/>
      <c r="Q984" s="39"/>
      <c r="R984" s="39"/>
      <c r="S984" s="39">
        <v>6.46</v>
      </c>
      <c r="T984" s="39"/>
      <c r="U984" s="39"/>
      <c r="V984" s="57"/>
      <c r="W984" s="65"/>
    </row>
    <row r="985" spans="1:23" s="79" customFormat="1" ht="76.5" x14ac:dyDescent="0.2">
      <c r="A985" s="1" t="s">
        <v>81</v>
      </c>
      <c r="B985" s="2" t="s">
        <v>29</v>
      </c>
      <c r="C985" s="2" t="s">
        <v>82</v>
      </c>
      <c r="D985" s="2" t="s">
        <v>58</v>
      </c>
      <c r="E985" s="2">
        <v>2022</v>
      </c>
      <c r="F985" s="2" t="s">
        <v>311</v>
      </c>
      <c r="G985" s="2" t="s">
        <v>3092</v>
      </c>
      <c r="H985" s="2" t="s">
        <v>3092</v>
      </c>
      <c r="I985" s="1" t="s">
        <v>4327</v>
      </c>
      <c r="J985" s="1" t="s">
        <v>4328</v>
      </c>
      <c r="K985" s="17"/>
      <c r="L985" s="54" t="s">
        <v>1670</v>
      </c>
      <c r="M985" s="39"/>
      <c r="N985" s="39"/>
      <c r="O985" s="39"/>
      <c r="P985" s="39"/>
      <c r="Q985" s="39"/>
      <c r="R985" s="39"/>
      <c r="S985" s="39">
        <v>7.01</v>
      </c>
      <c r="T985" s="39"/>
      <c r="U985" s="39"/>
      <c r="V985" s="57"/>
      <c r="W985" s="65"/>
    </row>
    <row r="986" spans="1:23" s="79" customFormat="1" ht="63.75" x14ac:dyDescent="0.2">
      <c r="A986" s="1" t="s">
        <v>81</v>
      </c>
      <c r="B986" s="2" t="s">
        <v>29</v>
      </c>
      <c r="C986" s="2" t="s">
        <v>82</v>
      </c>
      <c r="D986" s="2" t="s">
        <v>58</v>
      </c>
      <c r="E986" s="2">
        <v>2022</v>
      </c>
      <c r="F986" s="2" t="s">
        <v>1794</v>
      </c>
      <c r="G986" s="2" t="s">
        <v>3092</v>
      </c>
      <c r="H986" s="2" t="s">
        <v>3092</v>
      </c>
      <c r="I986" s="1" t="s">
        <v>4329</v>
      </c>
      <c r="J986" s="1" t="s">
        <v>4330</v>
      </c>
      <c r="K986" s="17"/>
      <c r="L986" s="54" t="s">
        <v>1670</v>
      </c>
      <c r="M986" s="15"/>
      <c r="N986" s="15"/>
      <c r="O986" s="15"/>
      <c r="P986" s="15"/>
      <c r="Q986" s="15"/>
      <c r="R986" s="15"/>
      <c r="S986" s="15">
        <v>6.97</v>
      </c>
      <c r="T986" s="15"/>
      <c r="U986" s="15"/>
      <c r="V986" s="15"/>
      <c r="W986" s="60"/>
    </row>
    <row r="987" spans="1:23" s="79" customFormat="1" ht="76.5" x14ac:dyDescent="0.2">
      <c r="A987" s="1" t="s">
        <v>81</v>
      </c>
      <c r="B987" s="2" t="s">
        <v>29</v>
      </c>
      <c r="C987" s="2" t="s">
        <v>82</v>
      </c>
      <c r="D987" s="2" t="s">
        <v>58</v>
      </c>
      <c r="E987" s="2">
        <v>2022</v>
      </c>
      <c r="F987" s="2" t="s">
        <v>1796</v>
      </c>
      <c r="G987" s="2" t="s">
        <v>3092</v>
      </c>
      <c r="H987" s="2" t="s">
        <v>3092</v>
      </c>
      <c r="I987" s="1" t="s">
        <v>4331</v>
      </c>
      <c r="J987" s="1" t="s">
        <v>4332</v>
      </c>
      <c r="K987" s="17"/>
      <c r="L987" s="54" t="s">
        <v>1670</v>
      </c>
      <c r="M987" s="39"/>
      <c r="N987" s="39"/>
      <c r="O987" s="39"/>
      <c r="P987" s="39"/>
      <c r="Q987" s="39"/>
      <c r="R987" s="39"/>
      <c r="S987" s="39">
        <v>7.22</v>
      </c>
      <c r="T987" s="39"/>
      <c r="U987" s="39"/>
      <c r="V987" s="39"/>
      <c r="W987" s="60"/>
    </row>
    <row r="988" spans="1:23" s="79" customFormat="1" ht="127.5" x14ac:dyDescent="0.2">
      <c r="A988" s="1" t="s">
        <v>224</v>
      </c>
      <c r="B988" s="2" t="s">
        <v>196</v>
      </c>
      <c r="C988" s="2" t="s">
        <v>225</v>
      </c>
      <c r="D988" s="2" t="s">
        <v>226</v>
      </c>
      <c r="E988" s="2">
        <v>2022</v>
      </c>
      <c r="F988" s="2" t="s">
        <v>1791</v>
      </c>
      <c r="G988" s="2" t="s">
        <v>3093</v>
      </c>
      <c r="H988" s="2" t="s">
        <v>3092</v>
      </c>
      <c r="I988" s="1" t="s">
        <v>4333</v>
      </c>
      <c r="J988" s="1" t="s">
        <v>4334</v>
      </c>
      <c r="K988" s="17"/>
      <c r="L988" s="54" t="s">
        <v>1670</v>
      </c>
      <c r="M988" s="39"/>
      <c r="N988" s="39"/>
      <c r="O988" s="39">
        <f>151+207+739</f>
        <v>1097</v>
      </c>
      <c r="P988" s="39"/>
      <c r="Q988" s="39"/>
      <c r="R988" s="39"/>
      <c r="S988" s="39"/>
      <c r="T988" s="39"/>
      <c r="U988" s="39"/>
      <c r="V988" s="39"/>
      <c r="W988" s="60" t="s">
        <v>3304</v>
      </c>
    </row>
    <row r="989" spans="1:23" s="79" customFormat="1" ht="51" x14ac:dyDescent="0.2">
      <c r="A989" s="1" t="s">
        <v>4335</v>
      </c>
      <c r="B989" s="2" t="s">
        <v>262</v>
      </c>
      <c r="C989" s="2" t="s">
        <v>4336</v>
      </c>
      <c r="D989" s="2" t="s">
        <v>314</v>
      </c>
      <c r="E989" s="2">
        <v>2022</v>
      </c>
      <c r="F989" s="2" t="s">
        <v>1796</v>
      </c>
      <c r="G989" s="2" t="s">
        <v>3092</v>
      </c>
      <c r="H989" s="2" t="s">
        <v>3092</v>
      </c>
      <c r="I989" s="1" t="s">
        <v>4337</v>
      </c>
      <c r="J989" s="1" t="s">
        <v>4338</v>
      </c>
      <c r="K989" s="17"/>
      <c r="L989" s="54" t="s">
        <v>1670</v>
      </c>
      <c r="M989" s="39"/>
      <c r="N989" s="39"/>
      <c r="O989" s="39"/>
      <c r="P989" s="39"/>
      <c r="Q989" s="39"/>
      <c r="R989" s="39"/>
      <c r="S989" s="39"/>
      <c r="T989" s="39"/>
      <c r="U989" s="39"/>
      <c r="V989" s="39">
        <v>38.799999999999997</v>
      </c>
      <c r="W989" s="60" t="s">
        <v>3304</v>
      </c>
    </row>
    <row r="990" spans="1:23" x14ac:dyDescent="0.2">
      <c r="L990" s="82"/>
      <c r="M990" s="73">
        <f t="shared" ref="M990:V990" si="1">SUBTOTAL(109,M3:M989)</f>
        <v>12734.09</v>
      </c>
      <c r="N990" s="73">
        <f t="shared" si="1"/>
        <v>6306.5450000000001</v>
      </c>
      <c r="O990" s="73">
        <f t="shared" si="1"/>
        <v>287085.04307559563</v>
      </c>
      <c r="P990" s="73">
        <f t="shared" si="1"/>
        <v>9903.2257121879611</v>
      </c>
      <c r="Q990" s="73">
        <f t="shared" si="1"/>
        <v>0</v>
      </c>
      <c r="R990" s="73">
        <f t="shared" si="1"/>
        <v>17154.867000000002</v>
      </c>
      <c r="S990" s="73">
        <f t="shared" si="1"/>
        <v>59739.803847707852</v>
      </c>
      <c r="T990" s="73">
        <f t="shared" si="1"/>
        <v>350589.17913636361</v>
      </c>
      <c r="U990" s="73">
        <f t="shared" si="1"/>
        <v>1579.23</v>
      </c>
      <c r="V990" s="73">
        <f t="shared" si="1"/>
        <v>3705.2197999999989</v>
      </c>
      <c r="W990" s="83">
        <f>SUM(M990:V990)</f>
        <v>748797.20357185497</v>
      </c>
    </row>
    <row r="991" spans="1:23" x14ac:dyDescent="0.2">
      <c r="L991" s="53"/>
      <c r="M991" s="39"/>
      <c r="N991" s="39"/>
      <c r="O991" s="39"/>
      <c r="P991" s="39"/>
      <c r="Q991" s="39"/>
      <c r="R991" s="39"/>
      <c r="S991" s="39"/>
      <c r="T991" s="39"/>
      <c r="U991" s="39"/>
      <c r="V991" s="39"/>
      <c r="W991" s="60"/>
    </row>
    <row r="992" spans="1:23" x14ac:dyDescent="0.2">
      <c r="L992" s="53"/>
      <c r="M992" s="39"/>
      <c r="N992" s="39"/>
      <c r="O992" s="39"/>
      <c r="P992" s="39"/>
      <c r="Q992" s="39"/>
      <c r="R992" s="39"/>
      <c r="S992" s="39"/>
      <c r="T992" s="39"/>
      <c r="U992" s="39"/>
      <c r="V992" s="39"/>
      <c r="W992" s="60"/>
    </row>
    <row r="993" spans="12:23" x14ac:dyDescent="0.2">
      <c r="L993" s="53"/>
      <c r="M993" s="39"/>
      <c r="N993" s="39"/>
      <c r="O993" s="39"/>
      <c r="P993" s="39"/>
      <c r="Q993" s="39"/>
      <c r="R993" s="39"/>
      <c r="S993" s="39"/>
      <c r="T993" s="39"/>
      <c r="U993" s="39"/>
      <c r="V993" s="39"/>
      <c r="W993" s="60"/>
    </row>
    <row r="994" spans="12:23" x14ac:dyDescent="0.2">
      <c r="L994" s="53"/>
      <c r="M994" s="39"/>
      <c r="N994" s="39"/>
      <c r="O994" s="39"/>
      <c r="P994" s="39"/>
      <c r="Q994" s="39"/>
      <c r="R994" s="39"/>
      <c r="S994" s="39"/>
      <c r="T994" s="39"/>
      <c r="U994" s="39"/>
      <c r="V994" s="39"/>
      <c r="W994" s="60"/>
    </row>
    <row r="995" spans="12:23" x14ac:dyDescent="0.2">
      <c r="L995" s="53"/>
      <c r="M995" s="39"/>
      <c r="N995" s="39"/>
      <c r="O995" s="39"/>
      <c r="P995" s="39"/>
      <c r="Q995" s="39"/>
      <c r="R995" s="39"/>
      <c r="S995" s="39"/>
      <c r="T995" s="39"/>
      <c r="U995" s="39"/>
      <c r="V995" s="39"/>
      <c r="W995" s="60"/>
    </row>
    <row r="996" spans="12:23" x14ac:dyDescent="0.2">
      <c r="L996" s="53"/>
      <c r="M996" s="39"/>
      <c r="N996" s="39"/>
      <c r="O996" s="39"/>
      <c r="P996" s="39"/>
      <c r="Q996" s="39"/>
      <c r="R996" s="39"/>
      <c r="S996" s="39"/>
      <c r="T996" s="39"/>
      <c r="U996" s="39"/>
      <c r="V996" s="39"/>
      <c r="W996" s="60"/>
    </row>
    <row r="997" spans="12:23" x14ac:dyDescent="0.2">
      <c r="L997" s="53"/>
      <c r="M997" s="39"/>
      <c r="N997" s="39"/>
      <c r="O997" s="39"/>
      <c r="P997" s="39"/>
      <c r="Q997" s="39"/>
      <c r="R997" s="39"/>
      <c r="S997" s="39"/>
      <c r="T997" s="39"/>
      <c r="U997" s="39"/>
      <c r="V997" s="39"/>
      <c r="W997" s="60"/>
    </row>
    <row r="998" spans="12:23" x14ac:dyDescent="0.2">
      <c r="L998" s="84"/>
      <c r="M998" s="85"/>
      <c r="N998" s="85"/>
      <c r="O998" s="85"/>
      <c r="P998" s="85"/>
      <c r="Q998" s="85"/>
      <c r="R998" s="85"/>
      <c r="S998" s="85"/>
      <c r="T998" s="85"/>
      <c r="U998" s="85"/>
      <c r="V998" s="85"/>
      <c r="W998" s="66"/>
    </row>
    <row r="1021" spans="8:11" x14ac:dyDescent="0.2">
      <c r="J1021" s="9"/>
      <c r="K1021" s="18"/>
    </row>
    <row r="1023" spans="8:11" x14ac:dyDescent="0.2">
      <c r="H1023" s="8"/>
    </row>
    <row r="1024" spans="8:11" x14ac:dyDescent="0.2">
      <c r="H1024" s="8"/>
    </row>
    <row r="1025" spans="8:11" x14ac:dyDescent="0.2">
      <c r="I1025" s="13"/>
      <c r="J1025" s="3"/>
      <c r="K1025" s="19"/>
    </row>
    <row r="1026" spans="8:11" x14ac:dyDescent="0.2">
      <c r="I1026" s="11"/>
      <c r="J1026" s="8"/>
      <c r="K1026" s="20"/>
    </row>
    <row r="1027" spans="8:11" x14ac:dyDescent="0.2">
      <c r="H1027" s="10"/>
      <c r="I1027" s="11"/>
      <c r="J1027" s="8"/>
      <c r="K1027" s="20"/>
    </row>
    <row r="1028" spans="8:11" x14ac:dyDescent="0.2">
      <c r="H1028" s="7"/>
    </row>
    <row r="1029" spans="8:11" x14ac:dyDescent="0.2">
      <c r="H1029" s="7"/>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1029"/>
  <sheetViews>
    <sheetView zoomScale="70" zoomScaleNormal="70" workbookViewId="0">
      <pane xSplit="1" ySplit="2" topLeftCell="B3" activePane="bottomRight" state="frozen"/>
      <selection pane="topRight" activeCell="B1" sqref="B1"/>
      <selection pane="bottomLeft" activeCell="A3" sqref="A3"/>
      <selection pane="bottomRight" activeCell="A2" sqref="A2"/>
    </sheetView>
  </sheetViews>
  <sheetFormatPr baseColWidth="10" defaultColWidth="11.5703125" defaultRowHeight="12.75" x14ac:dyDescent="0.2"/>
  <cols>
    <col min="1" max="1" width="47.28515625" style="1" customWidth="1"/>
    <col min="2" max="2" width="27.7109375" style="2" customWidth="1"/>
    <col min="3" max="3" width="19.28515625" style="2" customWidth="1"/>
    <col min="4" max="4" width="23.42578125" style="2" customWidth="1"/>
    <col min="5" max="6" width="11.5703125" style="2" customWidth="1"/>
    <col min="7" max="7" width="18.42578125" style="2" customWidth="1"/>
    <col min="8" max="8" width="20.7109375" style="2" customWidth="1"/>
    <col min="9" max="9" width="46.85546875" style="1" customWidth="1"/>
    <col min="10" max="10" width="85.42578125" style="1" customWidth="1"/>
    <col min="11" max="11" width="2.5703125" style="17" customWidth="1"/>
    <col min="12" max="12" width="19.28515625" style="58" customWidth="1"/>
    <col min="13" max="13" width="19.28515625" style="59" customWidth="1"/>
    <col min="14" max="14" width="20.5703125" style="59" customWidth="1"/>
    <col min="15" max="16" width="19.28515625" style="59" customWidth="1"/>
    <col min="17" max="17" width="16.140625" style="59" customWidth="1"/>
    <col min="18" max="22" width="17.7109375" style="59" customWidth="1"/>
    <col min="23" max="23" width="63.5703125" style="67" customWidth="1"/>
    <col min="24" max="24" width="23.140625" customWidth="1"/>
    <col min="25" max="25" width="47.140625" customWidth="1"/>
  </cols>
  <sheetData>
    <row r="1" spans="1:23" ht="35.25" customHeight="1" x14ac:dyDescent="0.2">
      <c r="A1" s="76" t="s">
        <v>3073</v>
      </c>
      <c r="B1" s="76"/>
      <c r="C1" s="76"/>
      <c r="D1" s="76"/>
      <c r="E1" s="76"/>
      <c r="F1" s="76"/>
      <c r="G1" s="76"/>
      <c r="H1" s="76"/>
      <c r="I1" s="76"/>
      <c r="J1" s="76"/>
      <c r="K1" s="16"/>
      <c r="L1" s="77" t="s">
        <v>1744</v>
      </c>
      <c r="M1" s="77"/>
      <c r="N1" s="77"/>
      <c r="O1" s="77"/>
      <c r="P1" s="77"/>
      <c r="Q1" s="77"/>
      <c r="R1" s="77"/>
      <c r="S1" s="77"/>
      <c r="T1" s="77"/>
      <c r="U1" s="77"/>
      <c r="V1" s="77"/>
      <c r="W1" s="77"/>
    </row>
    <row r="2" spans="1:23" s="1" customFormat="1" ht="78" customHeight="1" x14ac:dyDescent="0.2">
      <c r="A2" s="1" t="s">
        <v>3076</v>
      </c>
      <c r="B2" s="1" t="s">
        <v>0</v>
      </c>
      <c r="C2" s="1" t="s">
        <v>1</v>
      </c>
      <c r="D2" s="1" t="s">
        <v>2</v>
      </c>
      <c r="E2" s="1" t="s">
        <v>3</v>
      </c>
      <c r="F2" s="1" t="s">
        <v>4</v>
      </c>
      <c r="G2" s="1" t="s">
        <v>5</v>
      </c>
      <c r="H2" s="1" t="s">
        <v>6</v>
      </c>
      <c r="I2" s="1" t="s">
        <v>7</v>
      </c>
      <c r="J2" s="1" t="s">
        <v>8</v>
      </c>
      <c r="K2" s="21" t="s">
        <v>1774</v>
      </c>
      <c r="L2" s="32" t="s">
        <v>1672</v>
      </c>
      <c r="M2" s="23" t="s">
        <v>1673</v>
      </c>
      <c r="N2" s="23" t="s">
        <v>1775</v>
      </c>
      <c r="O2" s="23" t="s">
        <v>1671</v>
      </c>
      <c r="P2" s="23" t="s">
        <v>1674</v>
      </c>
      <c r="Q2" s="23" t="s">
        <v>1675</v>
      </c>
      <c r="R2" s="23" t="s">
        <v>1704</v>
      </c>
      <c r="S2" s="23" t="s">
        <v>1676</v>
      </c>
      <c r="T2" s="23" t="s">
        <v>1677</v>
      </c>
      <c r="U2" s="23" t="s">
        <v>4342</v>
      </c>
      <c r="V2" s="23" t="s">
        <v>4343</v>
      </c>
      <c r="W2" s="68" t="s">
        <v>1678</v>
      </c>
    </row>
    <row r="3" spans="1:23" ht="38.25" x14ac:dyDescent="0.2">
      <c r="A3" s="1" t="s">
        <v>149</v>
      </c>
      <c r="B3" s="2" t="s">
        <v>16</v>
      </c>
      <c r="C3" s="2" t="s">
        <v>150</v>
      </c>
      <c r="D3" s="2" t="s">
        <v>129</v>
      </c>
      <c r="E3" s="2">
        <v>2021</v>
      </c>
      <c r="F3" s="2" t="s">
        <v>1776</v>
      </c>
      <c r="G3" s="2" t="s">
        <v>1667</v>
      </c>
      <c r="H3" s="2" t="s">
        <v>1669</v>
      </c>
      <c r="I3" s="1" t="s">
        <v>14</v>
      </c>
      <c r="J3" s="1" t="s">
        <v>1777</v>
      </c>
      <c r="L3" s="53">
        <v>0.309</v>
      </c>
      <c r="M3" s="39">
        <f>129.13/2</f>
        <v>64.564999999999998</v>
      </c>
      <c r="N3" s="39"/>
      <c r="O3" s="39">
        <f>129.13/2</f>
        <v>64.564999999999998</v>
      </c>
      <c r="P3" s="39"/>
      <c r="Q3" s="39"/>
      <c r="R3" s="39"/>
      <c r="S3" s="39"/>
      <c r="T3" s="39"/>
      <c r="U3" s="39"/>
      <c r="V3" s="39"/>
      <c r="W3" s="60" t="s">
        <v>1778</v>
      </c>
    </row>
    <row r="4" spans="1:23" ht="38.25" x14ac:dyDescent="0.2">
      <c r="A4" s="1" t="s">
        <v>149</v>
      </c>
      <c r="B4" s="2" t="s">
        <v>16</v>
      </c>
      <c r="C4" s="2" t="s">
        <v>150</v>
      </c>
      <c r="D4" s="2" t="s">
        <v>129</v>
      </c>
      <c r="E4" s="2">
        <v>2021</v>
      </c>
      <c r="F4" s="2" t="s">
        <v>1779</v>
      </c>
      <c r="G4" s="2" t="s">
        <v>1667</v>
      </c>
      <c r="H4" s="2" t="s">
        <v>1669</v>
      </c>
      <c r="I4" s="1" t="s">
        <v>14</v>
      </c>
      <c r="J4" s="1" t="s">
        <v>1780</v>
      </c>
      <c r="L4" s="53">
        <v>0.314</v>
      </c>
      <c r="M4" s="39">
        <f>107.85/2</f>
        <v>53.924999999999997</v>
      </c>
      <c r="N4" s="39"/>
      <c r="O4" s="39">
        <f>107.85/2</f>
        <v>53.924999999999997</v>
      </c>
      <c r="P4" s="39"/>
      <c r="Q4" s="39"/>
      <c r="R4" s="39"/>
      <c r="S4" s="39"/>
      <c r="T4" s="39"/>
      <c r="U4" s="39"/>
      <c r="V4" s="39"/>
      <c r="W4" s="60" t="s">
        <v>1778</v>
      </c>
    </row>
    <row r="5" spans="1:23" ht="38.25" x14ac:dyDescent="0.2">
      <c r="A5" s="1" t="s">
        <v>149</v>
      </c>
      <c r="B5" s="2" t="s">
        <v>16</v>
      </c>
      <c r="C5" s="2" t="s">
        <v>150</v>
      </c>
      <c r="D5" s="2" t="s">
        <v>129</v>
      </c>
      <c r="E5" s="2">
        <v>2021</v>
      </c>
      <c r="F5" s="2" t="s">
        <v>1781</v>
      </c>
      <c r="G5" s="2" t="s">
        <v>1667</v>
      </c>
      <c r="H5" s="2" t="s">
        <v>1669</v>
      </c>
      <c r="I5" s="1" t="s">
        <v>14</v>
      </c>
      <c r="J5" s="1" t="s">
        <v>1782</v>
      </c>
      <c r="L5" s="53">
        <v>0.30199999999999999</v>
      </c>
      <c r="M5" s="39">
        <f>141.6/2</f>
        <v>70.8</v>
      </c>
      <c r="N5" s="39"/>
      <c r="O5" s="39">
        <f>141.6/2</f>
        <v>70.8</v>
      </c>
      <c r="P5" s="39"/>
      <c r="Q5" s="39"/>
      <c r="R5" s="39"/>
      <c r="S5" s="39"/>
      <c r="T5" s="39"/>
      <c r="U5" s="39"/>
      <c r="V5" s="39"/>
      <c r="W5" s="60" t="s">
        <v>1778</v>
      </c>
    </row>
    <row r="6" spans="1:23" ht="38.25" x14ac:dyDescent="0.2">
      <c r="A6" s="1" t="s">
        <v>149</v>
      </c>
      <c r="B6" s="2" t="s">
        <v>16</v>
      </c>
      <c r="C6" s="2" t="s">
        <v>150</v>
      </c>
      <c r="D6" s="2" t="s">
        <v>129</v>
      </c>
      <c r="E6" s="2">
        <v>2021</v>
      </c>
      <c r="F6" s="2" t="s">
        <v>1783</v>
      </c>
      <c r="G6" s="2" t="s">
        <v>1667</v>
      </c>
      <c r="H6" s="2" t="s">
        <v>1669</v>
      </c>
      <c r="I6" s="1" t="s">
        <v>14</v>
      </c>
      <c r="J6" s="1" t="s">
        <v>1784</v>
      </c>
      <c r="L6" s="53">
        <v>0.27900000000000003</v>
      </c>
      <c r="M6" s="39">
        <f>130.6/2</f>
        <v>65.3</v>
      </c>
      <c r="N6" s="39"/>
      <c r="O6" s="39">
        <f>130.6/2</f>
        <v>65.3</v>
      </c>
      <c r="P6" s="39"/>
      <c r="Q6" s="39"/>
      <c r="R6" s="39"/>
      <c r="S6" s="39"/>
      <c r="T6" s="39"/>
      <c r="U6" s="39"/>
      <c r="V6" s="39"/>
      <c r="W6" s="60" t="s">
        <v>1778</v>
      </c>
    </row>
    <row r="7" spans="1:23" ht="38.25" x14ac:dyDescent="0.2">
      <c r="A7" s="1" t="s">
        <v>149</v>
      </c>
      <c r="B7" s="2" t="s">
        <v>16</v>
      </c>
      <c r="C7" s="2" t="s">
        <v>150</v>
      </c>
      <c r="D7" s="2" t="s">
        <v>129</v>
      </c>
      <c r="E7" s="2">
        <v>2021</v>
      </c>
      <c r="F7" s="2" t="s">
        <v>1785</v>
      </c>
      <c r="G7" s="2" t="s">
        <v>1667</v>
      </c>
      <c r="H7" s="2" t="s">
        <v>1669</v>
      </c>
      <c r="I7" s="1" t="s">
        <v>14</v>
      </c>
      <c r="J7" s="1" t="s">
        <v>1786</v>
      </c>
      <c r="L7" s="53">
        <v>0.28899999999999998</v>
      </c>
      <c r="M7" s="39">
        <f>129.99/2</f>
        <v>64.995000000000005</v>
      </c>
      <c r="N7" s="39"/>
      <c r="O7" s="39">
        <f>129.99/2</f>
        <v>64.995000000000005</v>
      </c>
      <c r="P7" s="39"/>
      <c r="Q7" s="39"/>
      <c r="R7" s="39"/>
      <c r="S7" s="39"/>
      <c r="T7" s="39"/>
      <c r="U7" s="39"/>
      <c r="V7" s="39"/>
      <c r="W7" s="60" t="s">
        <v>1778</v>
      </c>
    </row>
    <row r="8" spans="1:23" ht="38.25" x14ac:dyDescent="0.2">
      <c r="A8" s="1" t="s">
        <v>149</v>
      </c>
      <c r="B8" s="2" t="s">
        <v>16</v>
      </c>
      <c r="C8" s="2" t="s">
        <v>150</v>
      </c>
      <c r="D8" s="2" t="s">
        <v>129</v>
      </c>
      <c r="E8" s="2">
        <v>2021</v>
      </c>
      <c r="F8" s="2" t="s">
        <v>1787</v>
      </c>
      <c r="G8" s="2" t="s">
        <v>1667</v>
      </c>
      <c r="H8" s="2" t="s">
        <v>1669</v>
      </c>
      <c r="I8" s="1" t="s">
        <v>14</v>
      </c>
      <c r="J8" s="1" t="s">
        <v>1788</v>
      </c>
      <c r="L8" s="53">
        <v>0.30599999999999999</v>
      </c>
      <c r="M8" s="39">
        <f>141.99/2</f>
        <v>70.995000000000005</v>
      </c>
      <c r="N8" s="39"/>
      <c r="O8" s="39">
        <f>141.99/2</f>
        <v>70.995000000000005</v>
      </c>
      <c r="P8" s="39"/>
      <c r="Q8" s="39"/>
      <c r="R8" s="39"/>
      <c r="S8" s="39"/>
      <c r="T8" s="39"/>
      <c r="U8" s="39"/>
      <c r="V8" s="39"/>
      <c r="W8" s="60" t="s">
        <v>1778</v>
      </c>
    </row>
    <row r="9" spans="1:23" ht="38.25" x14ac:dyDescent="0.2">
      <c r="A9" s="1" t="s">
        <v>149</v>
      </c>
      <c r="B9" s="2" t="s">
        <v>16</v>
      </c>
      <c r="C9" s="2" t="s">
        <v>150</v>
      </c>
      <c r="D9" s="2" t="s">
        <v>129</v>
      </c>
      <c r="E9" s="2">
        <v>2021</v>
      </c>
      <c r="F9" s="2" t="s">
        <v>1789</v>
      </c>
      <c r="G9" s="2" t="s">
        <v>1667</v>
      </c>
      <c r="H9" s="2" t="s">
        <v>1669</v>
      </c>
      <c r="I9" s="1" t="s">
        <v>14</v>
      </c>
      <c r="J9" s="1" t="s">
        <v>1790</v>
      </c>
      <c r="L9" s="53">
        <v>0.28799999999999998</v>
      </c>
      <c r="M9" s="39">
        <f>142.64/2</f>
        <v>71.319999999999993</v>
      </c>
      <c r="N9" s="39"/>
      <c r="O9" s="39">
        <f>142.64/2</f>
        <v>71.319999999999993</v>
      </c>
      <c r="P9" s="39"/>
      <c r="Q9" s="39"/>
      <c r="R9" s="39"/>
      <c r="S9" s="39"/>
      <c r="T9" s="39"/>
      <c r="U9" s="39"/>
      <c r="V9" s="39"/>
      <c r="W9" s="60" t="s">
        <v>1778</v>
      </c>
    </row>
    <row r="10" spans="1:23" ht="38.25" x14ac:dyDescent="0.2">
      <c r="A10" s="1" t="s">
        <v>149</v>
      </c>
      <c r="B10" s="2" t="s">
        <v>16</v>
      </c>
      <c r="C10" s="2" t="s">
        <v>150</v>
      </c>
      <c r="D10" s="2" t="s">
        <v>129</v>
      </c>
      <c r="E10" s="2">
        <v>2021</v>
      </c>
      <c r="F10" s="2" t="s">
        <v>1791</v>
      </c>
      <c r="G10" s="2" t="s">
        <v>1667</v>
      </c>
      <c r="H10" s="2" t="s">
        <v>1669</v>
      </c>
      <c r="I10" s="1" t="s">
        <v>14</v>
      </c>
      <c r="J10" s="1" t="s">
        <v>1792</v>
      </c>
      <c r="L10" s="53">
        <v>0.29299999999999998</v>
      </c>
      <c r="M10" s="39">
        <f>130.7/2</f>
        <v>65.349999999999994</v>
      </c>
      <c r="N10" s="39"/>
      <c r="O10" s="39">
        <f>130.7/2</f>
        <v>65.349999999999994</v>
      </c>
      <c r="P10" s="39"/>
      <c r="Q10" s="39"/>
      <c r="R10" s="39"/>
      <c r="S10" s="39"/>
      <c r="T10" s="39"/>
      <c r="U10" s="39"/>
      <c r="V10" s="39"/>
      <c r="W10" s="60" t="s">
        <v>1778</v>
      </c>
    </row>
    <row r="11" spans="1:23" ht="38.25" x14ac:dyDescent="0.2">
      <c r="A11" s="1" t="s">
        <v>149</v>
      </c>
      <c r="B11" s="2" t="s">
        <v>16</v>
      </c>
      <c r="C11" s="2" t="s">
        <v>150</v>
      </c>
      <c r="D11" s="2" t="s">
        <v>129</v>
      </c>
      <c r="E11" s="2">
        <v>2021</v>
      </c>
      <c r="F11" s="2" t="s">
        <v>311</v>
      </c>
      <c r="G11" s="2" t="s">
        <v>1667</v>
      </c>
      <c r="H11" s="2" t="s">
        <v>1669</v>
      </c>
      <c r="I11" s="1" t="s">
        <v>14</v>
      </c>
      <c r="J11" s="1" t="s">
        <v>1793</v>
      </c>
      <c r="L11" s="53">
        <v>0.28799999999999998</v>
      </c>
      <c r="M11" s="39">
        <f>135.57/2</f>
        <v>67.784999999999997</v>
      </c>
      <c r="N11" s="39"/>
      <c r="O11" s="39">
        <f>135.57/2</f>
        <v>67.784999999999997</v>
      </c>
      <c r="P11" s="39"/>
      <c r="Q11" s="39"/>
      <c r="R11" s="39"/>
      <c r="S11" s="39"/>
      <c r="T11" s="39"/>
      <c r="U11" s="39"/>
      <c r="V11" s="39"/>
      <c r="W11" s="60" t="s">
        <v>1778</v>
      </c>
    </row>
    <row r="12" spans="1:23" ht="38.25" x14ac:dyDescent="0.2">
      <c r="A12" s="1" t="s">
        <v>149</v>
      </c>
      <c r="B12" s="2" t="s">
        <v>16</v>
      </c>
      <c r="C12" s="2" t="s">
        <v>150</v>
      </c>
      <c r="D12" s="2" t="s">
        <v>129</v>
      </c>
      <c r="E12" s="2">
        <v>2021</v>
      </c>
      <c r="F12" s="2" t="s">
        <v>1794</v>
      </c>
      <c r="G12" s="2" t="s">
        <v>1667</v>
      </c>
      <c r="H12" s="2" t="s">
        <v>1669</v>
      </c>
      <c r="I12" s="1" t="s">
        <v>14</v>
      </c>
      <c r="J12" s="1" t="s">
        <v>1795</v>
      </c>
      <c r="L12" s="53">
        <v>0.28299999999999997</v>
      </c>
      <c r="M12" s="39">
        <f>137.06/2</f>
        <v>68.53</v>
      </c>
      <c r="N12" s="39"/>
      <c r="O12" s="39">
        <f>137.06/2</f>
        <v>68.53</v>
      </c>
      <c r="P12" s="39"/>
      <c r="Q12" s="39"/>
      <c r="R12" s="39"/>
      <c r="S12" s="39"/>
      <c r="T12" s="39"/>
      <c r="U12" s="39"/>
      <c r="V12" s="39"/>
      <c r="W12" s="60" t="s">
        <v>1778</v>
      </c>
    </row>
    <row r="13" spans="1:23" ht="38.25" x14ac:dyDescent="0.2">
      <c r="A13" s="1" t="s">
        <v>149</v>
      </c>
      <c r="B13" s="2" t="s">
        <v>16</v>
      </c>
      <c r="C13" s="2" t="s">
        <v>150</v>
      </c>
      <c r="D13" s="2" t="s">
        <v>129</v>
      </c>
      <c r="E13" s="2">
        <v>2021</v>
      </c>
      <c r="F13" s="2" t="s">
        <v>1796</v>
      </c>
      <c r="G13" s="2" t="s">
        <v>1667</v>
      </c>
      <c r="H13" s="2" t="s">
        <v>1669</v>
      </c>
      <c r="I13" s="1" t="s">
        <v>14</v>
      </c>
      <c r="J13" s="1" t="s">
        <v>1797</v>
      </c>
      <c r="L13" s="53">
        <v>0.27500000000000002</v>
      </c>
      <c r="M13" s="39">
        <f>138.33/2</f>
        <v>69.165000000000006</v>
      </c>
      <c r="N13" s="39"/>
      <c r="O13" s="39">
        <f>138.33/2</f>
        <v>69.165000000000006</v>
      </c>
      <c r="P13" s="39"/>
      <c r="Q13" s="39"/>
      <c r="R13" s="39"/>
      <c r="S13" s="39"/>
      <c r="T13" s="39"/>
      <c r="U13" s="39"/>
      <c r="V13" s="39"/>
      <c r="W13" s="60" t="s">
        <v>1778</v>
      </c>
    </row>
    <row r="14" spans="1:23" ht="38.25" x14ac:dyDescent="0.2">
      <c r="A14" s="1" t="s">
        <v>149</v>
      </c>
      <c r="B14" s="2" t="s">
        <v>16</v>
      </c>
      <c r="C14" s="2" t="s">
        <v>150</v>
      </c>
      <c r="D14" s="2" t="s">
        <v>129</v>
      </c>
      <c r="E14" s="2">
        <v>2021</v>
      </c>
      <c r="F14" s="2" t="s">
        <v>1798</v>
      </c>
      <c r="G14" s="2" t="s">
        <v>1667</v>
      </c>
      <c r="H14" s="2" t="s">
        <v>1669</v>
      </c>
      <c r="I14" s="1" t="s">
        <v>14</v>
      </c>
      <c r="J14" s="1" t="s">
        <v>1799</v>
      </c>
      <c r="L14" s="53">
        <v>0.27600000000000002</v>
      </c>
      <c r="M14" s="39">
        <f>139.38/2</f>
        <v>69.69</v>
      </c>
      <c r="N14" s="39"/>
      <c r="O14" s="39">
        <f>139.38/2</f>
        <v>69.69</v>
      </c>
      <c r="P14" s="39"/>
      <c r="Q14" s="39"/>
      <c r="R14" s="39"/>
      <c r="S14" s="39"/>
      <c r="T14" s="39"/>
      <c r="U14" s="39"/>
      <c r="V14" s="39"/>
      <c r="W14" s="60" t="s">
        <v>1778</v>
      </c>
    </row>
    <row r="15" spans="1:23" ht="25.5" x14ac:dyDescent="0.2">
      <c r="A15" s="1" t="s">
        <v>44</v>
      </c>
      <c r="B15" s="2" t="s">
        <v>16</v>
      </c>
      <c r="C15" s="2" t="s">
        <v>45</v>
      </c>
      <c r="D15" s="2" t="s">
        <v>46</v>
      </c>
      <c r="E15" s="2">
        <v>2021</v>
      </c>
      <c r="F15" s="2" t="s">
        <v>1776</v>
      </c>
      <c r="G15" s="2" t="s">
        <v>1667</v>
      </c>
      <c r="H15" s="2" t="s">
        <v>1669</v>
      </c>
      <c r="I15" s="1" t="s">
        <v>14</v>
      </c>
      <c r="J15" s="1" t="s">
        <v>1800</v>
      </c>
      <c r="L15" s="53">
        <v>0.24</v>
      </c>
      <c r="M15" s="39"/>
      <c r="N15" s="39"/>
      <c r="O15" s="39">
        <v>314.86</v>
      </c>
      <c r="P15" s="39"/>
      <c r="Q15" s="39"/>
      <c r="R15" s="39"/>
      <c r="S15" s="39"/>
      <c r="T15" s="39"/>
      <c r="U15" s="39"/>
      <c r="V15" s="39"/>
      <c r="W15" s="60" t="s">
        <v>1742</v>
      </c>
    </row>
    <row r="16" spans="1:23" ht="25.5" x14ac:dyDescent="0.2">
      <c r="A16" s="1" t="s">
        <v>44</v>
      </c>
      <c r="B16" s="2" t="s">
        <v>16</v>
      </c>
      <c r="C16" s="2" t="s">
        <v>45</v>
      </c>
      <c r="D16" s="2" t="s">
        <v>46</v>
      </c>
      <c r="E16" s="2">
        <v>2021</v>
      </c>
      <c r="F16" s="2" t="s">
        <v>1779</v>
      </c>
      <c r="G16" s="2" t="s">
        <v>1667</v>
      </c>
      <c r="H16" s="2" t="s">
        <v>1669</v>
      </c>
      <c r="I16" s="1" t="s">
        <v>14</v>
      </c>
      <c r="J16" s="1" t="s">
        <v>1801</v>
      </c>
      <c r="L16" s="53">
        <v>0.24</v>
      </c>
      <c r="M16" s="39"/>
      <c r="N16" s="39"/>
      <c r="O16" s="39">
        <v>175.38</v>
      </c>
      <c r="P16" s="39"/>
      <c r="Q16" s="39"/>
      <c r="R16" s="39"/>
      <c r="S16" s="39"/>
      <c r="T16" s="39"/>
      <c r="U16" s="39"/>
      <c r="V16" s="39"/>
      <c r="W16" s="60" t="s">
        <v>1742</v>
      </c>
    </row>
    <row r="17" spans="1:23" ht="51" x14ac:dyDescent="0.2">
      <c r="A17" s="1" t="s">
        <v>44</v>
      </c>
      <c r="B17" s="2" t="s">
        <v>16</v>
      </c>
      <c r="C17" s="2" t="s">
        <v>45</v>
      </c>
      <c r="D17" s="2" t="s">
        <v>46</v>
      </c>
      <c r="E17" s="2">
        <v>2021</v>
      </c>
      <c r="F17" s="2" t="s">
        <v>1781</v>
      </c>
      <c r="G17" s="2" t="s">
        <v>1667</v>
      </c>
      <c r="H17" s="2" t="s">
        <v>1669</v>
      </c>
      <c r="I17" s="1" t="s">
        <v>14</v>
      </c>
      <c r="J17" s="1" t="s">
        <v>1802</v>
      </c>
      <c r="L17" s="54" t="s">
        <v>1803</v>
      </c>
      <c r="M17" s="39"/>
      <c r="N17" s="39"/>
      <c r="O17" s="39">
        <f>233.29+24.16</f>
        <v>257.45</v>
      </c>
      <c r="P17" s="39"/>
      <c r="Q17" s="39"/>
      <c r="R17" s="39"/>
      <c r="S17" s="39"/>
      <c r="T17" s="39"/>
      <c r="U17" s="39"/>
      <c r="V17" s="39"/>
      <c r="W17" s="60" t="s">
        <v>1742</v>
      </c>
    </row>
    <row r="18" spans="1:23" ht="25.5" x14ac:dyDescent="0.2">
      <c r="A18" s="1" t="s">
        <v>44</v>
      </c>
      <c r="B18" s="2" t="s">
        <v>16</v>
      </c>
      <c r="C18" s="2" t="s">
        <v>45</v>
      </c>
      <c r="D18" s="2" t="s">
        <v>46</v>
      </c>
      <c r="E18" s="2">
        <v>2021</v>
      </c>
      <c r="F18" s="2" t="s">
        <v>1783</v>
      </c>
      <c r="G18" s="2" t="s">
        <v>1667</v>
      </c>
      <c r="H18" s="2" t="s">
        <v>1669</v>
      </c>
      <c r="I18" s="1" t="s">
        <v>14</v>
      </c>
      <c r="J18" s="1" t="s">
        <v>1804</v>
      </c>
      <c r="L18" s="53">
        <v>0.23499999999999999</v>
      </c>
      <c r="M18" s="39"/>
      <c r="N18" s="39"/>
      <c r="O18" s="39">
        <v>278.14999999999998</v>
      </c>
      <c r="P18" s="39"/>
      <c r="Q18" s="39"/>
      <c r="R18" s="39"/>
      <c r="S18" s="39"/>
      <c r="T18" s="39"/>
      <c r="U18" s="39"/>
      <c r="V18" s="39"/>
      <c r="W18" s="60" t="s">
        <v>1742</v>
      </c>
    </row>
    <row r="19" spans="1:23" ht="51" x14ac:dyDescent="0.2">
      <c r="A19" s="1" t="s">
        <v>44</v>
      </c>
      <c r="B19" s="2" t="s">
        <v>16</v>
      </c>
      <c r="C19" s="2" t="s">
        <v>45</v>
      </c>
      <c r="D19" s="2" t="s">
        <v>46</v>
      </c>
      <c r="E19" s="2">
        <v>2021</v>
      </c>
      <c r="F19" s="2" t="s">
        <v>1785</v>
      </c>
      <c r="G19" s="2" t="s">
        <v>1667</v>
      </c>
      <c r="H19" s="2" t="s">
        <v>1669</v>
      </c>
      <c r="I19" s="1" t="s">
        <v>14</v>
      </c>
      <c r="J19" s="1" t="s">
        <v>1805</v>
      </c>
      <c r="L19" s="54" t="s">
        <v>1806</v>
      </c>
      <c r="M19" s="39"/>
      <c r="N19" s="39"/>
      <c r="O19" s="39">
        <f>370.75+23.32</f>
        <v>394.07</v>
      </c>
      <c r="P19" s="39"/>
      <c r="Q19" s="39"/>
      <c r="R19" s="39"/>
      <c r="S19" s="39"/>
      <c r="T19" s="39"/>
      <c r="U19" s="39"/>
      <c r="V19" s="39"/>
      <c r="W19" s="60" t="s">
        <v>1742</v>
      </c>
    </row>
    <row r="20" spans="1:23" ht="51" x14ac:dyDescent="0.2">
      <c r="A20" s="1" t="s">
        <v>44</v>
      </c>
      <c r="B20" s="2" t="s">
        <v>16</v>
      </c>
      <c r="C20" s="2" t="s">
        <v>45</v>
      </c>
      <c r="D20" s="2" t="s">
        <v>46</v>
      </c>
      <c r="E20" s="2">
        <v>2021</v>
      </c>
      <c r="F20" s="2" t="s">
        <v>1787</v>
      </c>
      <c r="G20" s="2" t="s">
        <v>1667</v>
      </c>
      <c r="H20" s="2" t="s">
        <v>1669</v>
      </c>
      <c r="I20" s="1" t="s">
        <v>14</v>
      </c>
      <c r="J20" s="1" t="s">
        <v>1807</v>
      </c>
      <c r="L20" s="54" t="s">
        <v>1806</v>
      </c>
      <c r="M20" s="39"/>
      <c r="N20" s="39"/>
      <c r="O20" s="39">
        <f>289.07+30.31</f>
        <v>319.38</v>
      </c>
      <c r="P20" s="39"/>
      <c r="Q20" s="39"/>
      <c r="R20" s="39"/>
      <c r="S20" s="39"/>
      <c r="T20" s="39"/>
      <c r="U20" s="39"/>
      <c r="V20" s="39"/>
      <c r="W20" s="60" t="s">
        <v>1742</v>
      </c>
    </row>
    <row r="21" spans="1:23" ht="25.5" x14ac:dyDescent="0.2">
      <c r="A21" s="1" t="s">
        <v>44</v>
      </c>
      <c r="B21" s="2" t="s">
        <v>16</v>
      </c>
      <c r="C21" s="2" t="s">
        <v>45</v>
      </c>
      <c r="D21" s="2" t="s">
        <v>46</v>
      </c>
      <c r="E21" s="2">
        <v>2021</v>
      </c>
      <c r="F21" s="2" t="s">
        <v>1789</v>
      </c>
      <c r="G21" s="2" t="s">
        <v>1667</v>
      </c>
      <c r="H21" s="2" t="s">
        <v>1669</v>
      </c>
      <c r="I21" s="1" t="s">
        <v>14</v>
      </c>
      <c r="J21" s="1" t="s">
        <v>1808</v>
      </c>
      <c r="L21" s="53">
        <v>0.23</v>
      </c>
      <c r="M21" s="39"/>
      <c r="N21" s="39"/>
      <c r="O21" s="39">
        <v>441.39</v>
      </c>
      <c r="P21" s="39"/>
      <c r="Q21" s="39"/>
      <c r="R21" s="39"/>
      <c r="S21" s="39"/>
      <c r="T21" s="39"/>
      <c r="U21" s="39"/>
      <c r="V21" s="39"/>
      <c r="W21" s="60" t="s">
        <v>1742</v>
      </c>
    </row>
    <row r="22" spans="1:23" ht="51" x14ac:dyDescent="0.2">
      <c r="A22" s="1" t="s">
        <v>44</v>
      </c>
      <c r="B22" s="2" t="s">
        <v>16</v>
      </c>
      <c r="C22" s="2" t="s">
        <v>45</v>
      </c>
      <c r="D22" s="2" t="s">
        <v>46</v>
      </c>
      <c r="E22" s="2">
        <v>2021</v>
      </c>
      <c r="F22" s="2" t="s">
        <v>1791</v>
      </c>
      <c r="G22" s="2" t="s">
        <v>1667</v>
      </c>
      <c r="H22" s="2" t="s">
        <v>1669</v>
      </c>
      <c r="I22" s="1" t="s">
        <v>14</v>
      </c>
      <c r="J22" s="1" t="s">
        <v>1809</v>
      </c>
      <c r="L22" s="54" t="s">
        <v>1803</v>
      </c>
      <c r="M22" s="39"/>
      <c r="N22" s="39"/>
      <c r="O22" s="39">
        <f>270.54+26.08</f>
        <v>296.62</v>
      </c>
      <c r="P22" s="39"/>
      <c r="Q22" s="39"/>
      <c r="R22" s="39"/>
      <c r="S22" s="39"/>
      <c r="T22" s="39"/>
      <c r="U22" s="39"/>
      <c r="V22" s="39"/>
      <c r="W22" s="60" t="s">
        <v>1742</v>
      </c>
    </row>
    <row r="23" spans="1:23" ht="51" x14ac:dyDescent="0.2">
      <c r="A23" s="1" t="s">
        <v>44</v>
      </c>
      <c r="B23" s="2" t="s">
        <v>16</v>
      </c>
      <c r="C23" s="2" t="s">
        <v>45</v>
      </c>
      <c r="D23" s="2" t="s">
        <v>46</v>
      </c>
      <c r="E23" s="2">
        <v>2021</v>
      </c>
      <c r="F23" s="2" t="s">
        <v>311</v>
      </c>
      <c r="G23" s="2" t="s">
        <v>1667</v>
      </c>
      <c r="H23" s="2" t="s">
        <v>1669</v>
      </c>
      <c r="I23" s="1" t="s">
        <v>14</v>
      </c>
      <c r="J23" s="1" t="s">
        <v>1810</v>
      </c>
      <c r="L23" s="54" t="s">
        <v>1803</v>
      </c>
      <c r="M23" s="39"/>
      <c r="N23" s="39"/>
      <c r="O23" s="39">
        <f>66.69+121.71</f>
        <v>188.39999999999998</v>
      </c>
      <c r="P23" s="39"/>
      <c r="Q23" s="39"/>
      <c r="R23" s="39"/>
      <c r="S23" s="39"/>
      <c r="T23" s="39"/>
      <c r="U23" s="39"/>
      <c r="V23" s="39"/>
      <c r="W23" s="60" t="s">
        <v>1742</v>
      </c>
    </row>
    <row r="24" spans="1:23" ht="51" x14ac:dyDescent="0.2">
      <c r="A24" s="1" t="s">
        <v>44</v>
      </c>
      <c r="B24" s="2" t="s">
        <v>16</v>
      </c>
      <c r="C24" s="2" t="s">
        <v>45</v>
      </c>
      <c r="D24" s="2" t="s">
        <v>46</v>
      </c>
      <c r="E24" s="2">
        <v>2021</v>
      </c>
      <c r="F24" s="2" t="s">
        <v>1794</v>
      </c>
      <c r="G24" s="2" t="s">
        <v>1667</v>
      </c>
      <c r="H24" s="2" t="s">
        <v>1669</v>
      </c>
      <c r="I24" s="1" t="s">
        <v>14</v>
      </c>
      <c r="J24" s="1" t="s">
        <v>1811</v>
      </c>
      <c r="L24" s="54" t="s">
        <v>1812</v>
      </c>
      <c r="M24" s="39"/>
      <c r="N24" s="39"/>
      <c r="O24" s="39">
        <f>40.18+127.21</f>
        <v>167.39</v>
      </c>
      <c r="P24" s="39"/>
      <c r="Q24" s="39"/>
      <c r="R24" s="39"/>
      <c r="S24" s="39"/>
      <c r="T24" s="39"/>
      <c r="U24" s="39"/>
      <c r="V24" s="39"/>
      <c r="W24" s="60" t="s">
        <v>1742</v>
      </c>
    </row>
    <row r="25" spans="1:23" ht="51" x14ac:dyDescent="0.2">
      <c r="A25" s="1" t="s">
        <v>44</v>
      </c>
      <c r="B25" s="2" t="s">
        <v>16</v>
      </c>
      <c r="C25" s="2" t="s">
        <v>45</v>
      </c>
      <c r="D25" s="2" t="s">
        <v>46</v>
      </c>
      <c r="E25" s="2">
        <v>2021</v>
      </c>
      <c r="F25" s="2" t="s">
        <v>1796</v>
      </c>
      <c r="G25" s="2" t="s">
        <v>1667</v>
      </c>
      <c r="H25" s="2" t="s">
        <v>1669</v>
      </c>
      <c r="I25" s="1" t="s">
        <v>14</v>
      </c>
      <c r="J25" s="1" t="s">
        <v>1813</v>
      </c>
      <c r="L25" s="54" t="s">
        <v>1812</v>
      </c>
      <c r="M25" s="39"/>
      <c r="N25" s="39"/>
      <c r="O25" s="39">
        <f>65.27+98</f>
        <v>163.26999999999998</v>
      </c>
      <c r="P25" s="39"/>
      <c r="Q25" s="39"/>
      <c r="R25" s="39"/>
      <c r="S25" s="39"/>
      <c r="T25" s="39"/>
      <c r="U25" s="39"/>
      <c r="V25" s="39"/>
      <c r="W25" s="60" t="s">
        <v>1742</v>
      </c>
    </row>
    <row r="26" spans="1:23" ht="51" x14ac:dyDescent="0.2">
      <c r="A26" s="1" t="s">
        <v>44</v>
      </c>
      <c r="B26" s="2" t="s">
        <v>16</v>
      </c>
      <c r="C26" s="2" t="s">
        <v>45</v>
      </c>
      <c r="D26" s="2" t="s">
        <v>46</v>
      </c>
      <c r="E26" s="2">
        <v>2021</v>
      </c>
      <c r="F26" s="2" t="s">
        <v>1798</v>
      </c>
      <c r="G26" s="2" t="s">
        <v>1667</v>
      </c>
      <c r="H26" s="2" t="s">
        <v>1669</v>
      </c>
      <c r="I26" s="1" t="s">
        <v>14</v>
      </c>
      <c r="J26" s="1" t="s">
        <v>1814</v>
      </c>
      <c r="L26" s="54" t="s">
        <v>1812</v>
      </c>
      <c r="M26" s="39"/>
      <c r="N26" s="39"/>
      <c r="O26" s="39">
        <f>188.32+41.08</f>
        <v>229.39999999999998</v>
      </c>
      <c r="P26" s="39"/>
      <c r="Q26" s="39"/>
      <c r="R26" s="39"/>
      <c r="S26" s="39"/>
      <c r="T26" s="39"/>
      <c r="U26" s="39"/>
      <c r="V26" s="39"/>
      <c r="W26" s="60" t="s">
        <v>1742</v>
      </c>
    </row>
    <row r="27" spans="1:23" ht="38.25" x14ac:dyDescent="0.2">
      <c r="A27" s="1" t="s">
        <v>101</v>
      </c>
      <c r="B27" s="2" t="s">
        <v>38</v>
      </c>
      <c r="C27" s="2" t="s">
        <v>102</v>
      </c>
      <c r="D27" s="2" t="s">
        <v>100</v>
      </c>
      <c r="E27" s="2">
        <v>2021</v>
      </c>
      <c r="F27" s="2" t="s">
        <v>1776</v>
      </c>
      <c r="G27" s="2" t="s">
        <v>1667</v>
      </c>
      <c r="H27" s="2" t="s">
        <v>1669</v>
      </c>
      <c r="I27" s="1" t="s">
        <v>14</v>
      </c>
      <c r="J27" s="1" t="s">
        <v>1815</v>
      </c>
      <c r="L27" s="53">
        <v>0.17</v>
      </c>
      <c r="M27" s="39"/>
      <c r="N27" s="39"/>
      <c r="O27" s="39">
        <v>1941.53</v>
      </c>
      <c r="P27" s="39"/>
      <c r="Q27" s="39"/>
      <c r="R27" s="39"/>
      <c r="S27" s="39"/>
      <c r="T27" s="39"/>
      <c r="U27" s="39"/>
      <c r="V27" s="39"/>
      <c r="W27" s="60" t="s">
        <v>1742</v>
      </c>
    </row>
    <row r="28" spans="1:23" ht="51" x14ac:dyDescent="0.2">
      <c r="A28" s="1" t="s">
        <v>101</v>
      </c>
      <c r="B28" s="2" t="s">
        <v>38</v>
      </c>
      <c r="C28" s="2" t="s">
        <v>102</v>
      </c>
      <c r="D28" s="2" t="s">
        <v>100</v>
      </c>
      <c r="E28" s="2">
        <v>2021</v>
      </c>
      <c r="F28" s="2" t="s">
        <v>1779</v>
      </c>
      <c r="G28" s="2" t="s">
        <v>1667</v>
      </c>
      <c r="H28" s="2" t="s">
        <v>1669</v>
      </c>
      <c r="I28" s="1" t="s">
        <v>14</v>
      </c>
      <c r="J28" s="1" t="s">
        <v>1816</v>
      </c>
      <c r="L28" s="53">
        <v>0.16600000000000001</v>
      </c>
      <c r="M28" s="39"/>
      <c r="N28" s="39"/>
      <c r="O28" s="39">
        <v>1756.22</v>
      </c>
      <c r="P28" s="39"/>
      <c r="Q28" s="39"/>
      <c r="R28" s="39"/>
      <c r="S28" s="39"/>
      <c r="T28" s="39"/>
      <c r="U28" s="39"/>
      <c r="V28" s="39"/>
      <c r="W28" s="60" t="s">
        <v>1742</v>
      </c>
    </row>
    <row r="29" spans="1:23" ht="51" x14ac:dyDescent="0.2">
      <c r="A29" s="1" t="s">
        <v>101</v>
      </c>
      <c r="B29" s="2" t="s">
        <v>38</v>
      </c>
      <c r="C29" s="2" t="s">
        <v>102</v>
      </c>
      <c r="D29" s="2" t="s">
        <v>100</v>
      </c>
      <c r="E29" s="2">
        <v>2021</v>
      </c>
      <c r="F29" s="2" t="s">
        <v>1781</v>
      </c>
      <c r="G29" s="2" t="s">
        <v>1667</v>
      </c>
      <c r="H29" s="2" t="s">
        <v>1669</v>
      </c>
      <c r="I29" s="1" t="s">
        <v>14</v>
      </c>
      <c r="J29" s="1" t="s">
        <v>1817</v>
      </c>
      <c r="L29" s="53">
        <v>0.17499999999999999</v>
      </c>
      <c r="M29" s="39"/>
      <c r="N29" s="39"/>
      <c r="O29" s="39">
        <v>1579.7</v>
      </c>
      <c r="P29" s="39">
        <v>71.12</v>
      </c>
      <c r="Q29" s="39"/>
      <c r="R29" s="39"/>
      <c r="S29" s="39"/>
      <c r="T29" s="39"/>
      <c r="U29" s="39"/>
      <c r="V29" s="39"/>
      <c r="W29" s="60" t="s">
        <v>1742</v>
      </c>
    </row>
    <row r="30" spans="1:23" ht="51" x14ac:dyDescent="0.2">
      <c r="A30" s="1" t="s">
        <v>101</v>
      </c>
      <c r="B30" s="2" t="s">
        <v>38</v>
      </c>
      <c r="C30" s="2" t="s">
        <v>102</v>
      </c>
      <c r="D30" s="2" t="s">
        <v>100</v>
      </c>
      <c r="E30" s="2">
        <v>2021</v>
      </c>
      <c r="F30" s="2" t="s">
        <v>1783</v>
      </c>
      <c r="G30" s="2" t="s">
        <v>1667</v>
      </c>
      <c r="H30" s="2" t="s">
        <v>1669</v>
      </c>
      <c r="I30" s="1" t="s">
        <v>14</v>
      </c>
      <c r="J30" s="1" t="s">
        <v>1818</v>
      </c>
      <c r="L30" s="53">
        <v>0.17499999999999999</v>
      </c>
      <c r="M30" s="39"/>
      <c r="N30" s="39"/>
      <c r="O30" s="39">
        <v>1818</v>
      </c>
      <c r="P30" s="39">
        <v>46</v>
      </c>
      <c r="Q30" s="39"/>
      <c r="R30" s="39"/>
      <c r="S30" s="39"/>
      <c r="T30" s="39"/>
      <c r="U30" s="39"/>
      <c r="V30" s="39"/>
      <c r="W30" s="60" t="s">
        <v>1742</v>
      </c>
    </row>
    <row r="31" spans="1:23" ht="38.25" x14ac:dyDescent="0.2">
      <c r="A31" s="1" t="s">
        <v>101</v>
      </c>
      <c r="B31" s="2" t="s">
        <v>38</v>
      </c>
      <c r="C31" s="2" t="s">
        <v>102</v>
      </c>
      <c r="D31" s="2" t="s">
        <v>100</v>
      </c>
      <c r="E31" s="2">
        <v>2021</v>
      </c>
      <c r="F31" s="2" t="s">
        <v>1785</v>
      </c>
      <c r="G31" s="2" t="s">
        <v>1667</v>
      </c>
      <c r="H31" s="2" t="s">
        <v>1669</v>
      </c>
      <c r="I31" s="1" t="s">
        <v>14</v>
      </c>
      <c r="J31" s="1" t="s">
        <v>1819</v>
      </c>
      <c r="L31" s="53">
        <v>0.183</v>
      </c>
      <c r="M31" s="39"/>
      <c r="N31" s="39"/>
      <c r="O31" s="39">
        <v>2013.92</v>
      </c>
      <c r="P31" s="39"/>
      <c r="Q31" s="39"/>
      <c r="R31" s="39"/>
      <c r="S31" s="39"/>
      <c r="T31" s="39"/>
      <c r="U31" s="39"/>
      <c r="V31" s="39"/>
      <c r="W31" s="60" t="s">
        <v>1742</v>
      </c>
    </row>
    <row r="32" spans="1:23" ht="38.25" x14ac:dyDescent="0.2">
      <c r="A32" s="1" t="s">
        <v>101</v>
      </c>
      <c r="B32" s="2" t="s">
        <v>38</v>
      </c>
      <c r="C32" s="2" t="s">
        <v>102</v>
      </c>
      <c r="D32" s="2" t="s">
        <v>100</v>
      </c>
      <c r="E32" s="2">
        <v>2021</v>
      </c>
      <c r="F32" s="2" t="s">
        <v>1787</v>
      </c>
      <c r="G32" s="2" t="s">
        <v>1667</v>
      </c>
      <c r="H32" s="2" t="s">
        <v>1669</v>
      </c>
      <c r="I32" s="1" t="s">
        <v>14</v>
      </c>
      <c r="J32" s="1" t="s">
        <v>1820</v>
      </c>
      <c r="L32" s="53">
        <v>0.19900000000000001</v>
      </c>
      <c r="M32" s="39"/>
      <c r="N32" s="39"/>
      <c r="O32" s="39">
        <v>1855.68</v>
      </c>
      <c r="P32" s="39"/>
      <c r="Q32" s="39"/>
      <c r="R32" s="39"/>
      <c r="S32" s="39"/>
      <c r="T32" s="39"/>
      <c r="U32" s="39"/>
      <c r="V32" s="39"/>
      <c r="W32" s="60" t="s">
        <v>1742</v>
      </c>
    </row>
    <row r="33" spans="1:255" ht="38.25" x14ac:dyDescent="0.2">
      <c r="A33" s="1" t="s">
        <v>101</v>
      </c>
      <c r="B33" s="2" t="s">
        <v>38</v>
      </c>
      <c r="C33" s="2" t="s">
        <v>102</v>
      </c>
      <c r="D33" s="2" t="s">
        <v>100</v>
      </c>
      <c r="E33" s="2">
        <v>2021</v>
      </c>
      <c r="F33" s="2" t="s">
        <v>1789</v>
      </c>
      <c r="G33" s="2" t="s">
        <v>1667</v>
      </c>
      <c r="H33" s="2" t="s">
        <v>1669</v>
      </c>
      <c r="I33" s="1" t="s">
        <v>14</v>
      </c>
      <c r="J33" s="1" t="s">
        <v>1821</v>
      </c>
      <c r="L33" s="53">
        <v>0.19400000000000001</v>
      </c>
      <c r="M33" s="39"/>
      <c r="N33" s="39"/>
      <c r="O33" s="39">
        <v>1531.1</v>
      </c>
      <c r="P33" s="39"/>
      <c r="Q33" s="39"/>
      <c r="R33" s="39"/>
      <c r="S33" s="39"/>
      <c r="T33" s="39"/>
      <c r="U33" s="39"/>
      <c r="V33" s="39"/>
      <c r="W33" s="60" t="s">
        <v>1742</v>
      </c>
    </row>
    <row r="34" spans="1:255" ht="38.25" x14ac:dyDescent="0.2">
      <c r="A34" s="1" t="s">
        <v>101</v>
      </c>
      <c r="B34" s="2" t="s">
        <v>38</v>
      </c>
      <c r="C34" s="2" t="s">
        <v>102</v>
      </c>
      <c r="D34" s="2" t="s">
        <v>100</v>
      </c>
      <c r="E34" s="2">
        <v>2021</v>
      </c>
      <c r="F34" s="2" t="s">
        <v>1791</v>
      </c>
      <c r="G34" s="2" t="s">
        <v>1667</v>
      </c>
      <c r="H34" s="2" t="s">
        <v>1669</v>
      </c>
      <c r="I34" s="1" t="s">
        <v>14</v>
      </c>
      <c r="J34" s="1" t="s">
        <v>1822</v>
      </c>
      <c r="L34" s="53">
        <v>0.19800000000000001</v>
      </c>
      <c r="M34" s="39"/>
      <c r="N34" s="39"/>
      <c r="O34" s="39">
        <v>1644.58</v>
      </c>
      <c r="P34" s="39"/>
      <c r="Q34" s="39"/>
      <c r="R34" s="39"/>
      <c r="S34" s="39"/>
      <c r="T34" s="39"/>
      <c r="U34" s="39"/>
      <c r="V34" s="39"/>
      <c r="W34" s="60" t="s">
        <v>1742</v>
      </c>
    </row>
    <row r="35" spans="1:255" ht="38.25" x14ac:dyDescent="0.2">
      <c r="A35" s="1" t="s">
        <v>101</v>
      </c>
      <c r="B35" s="2" t="s">
        <v>38</v>
      </c>
      <c r="C35" s="2" t="s">
        <v>102</v>
      </c>
      <c r="D35" s="2" t="s">
        <v>100</v>
      </c>
      <c r="E35" s="2">
        <v>2021</v>
      </c>
      <c r="F35" s="2" t="s">
        <v>311</v>
      </c>
      <c r="G35" s="2" t="s">
        <v>1667</v>
      </c>
      <c r="H35" s="2" t="s">
        <v>1669</v>
      </c>
      <c r="I35" s="1" t="s">
        <v>14</v>
      </c>
      <c r="J35" s="1" t="s">
        <v>1823</v>
      </c>
      <c r="L35" s="53">
        <v>0.185</v>
      </c>
      <c r="M35" s="39"/>
      <c r="N35" s="39"/>
      <c r="O35" s="39">
        <v>1524.26</v>
      </c>
      <c r="P35" s="39"/>
      <c r="Q35" s="39"/>
      <c r="R35" s="39"/>
      <c r="S35" s="39"/>
      <c r="T35" s="39"/>
      <c r="U35" s="39"/>
      <c r="V35" s="39"/>
      <c r="W35" s="60" t="s">
        <v>1742</v>
      </c>
    </row>
    <row r="36" spans="1:255" ht="38.25" x14ac:dyDescent="0.2">
      <c r="A36" s="1" t="s">
        <v>101</v>
      </c>
      <c r="B36" s="2" t="s">
        <v>38</v>
      </c>
      <c r="C36" s="2" t="s">
        <v>102</v>
      </c>
      <c r="D36" s="2" t="s">
        <v>100</v>
      </c>
      <c r="E36" s="2">
        <v>2021</v>
      </c>
      <c r="F36" s="2" t="s">
        <v>1794</v>
      </c>
      <c r="G36" s="2" t="s">
        <v>1667</v>
      </c>
      <c r="H36" s="2" t="s">
        <v>1669</v>
      </c>
      <c r="I36" s="1" t="s">
        <v>14</v>
      </c>
      <c r="J36" s="1" t="s">
        <v>1824</v>
      </c>
      <c r="L36" s="53">
        <v>0.18</v>
      </c>
      <c r="M36" s="39"/>
      <c r="N36" s="39"/>
      <c r="O36" s="39">
        <v>1659.62</v>
      </c>
      <c r="P36" s="39"/>
      <c r="Q36" s="39"/>
      <c r="R36" s="39"/>
      <c r="S36" s="39"/>
      <c r="T36" s="39"/>
      <c r="U36" s="39"/>
      <c r="V36" s="39"/>
      <c r="W36" s="60" t="s">
        <v>1742</v>
      </c>
    </row>
    <row r="37" spans="1:255" ht="51" x14ac:dyDescent="0.2">
      <c r="A37" s="1" t="s">
        <v>101</v>
      </c>
      <c r="B37" s="2" t="s">
        <v>38</v>
      </c>
      <c r="C37" s="2" t="s">
        <v>102</v>
      </c>
      <c r="D37" s="2" t="s">
        <v>100</v>
      </c>
      <c r="E37" s="2">
        <v>2021</v>
      </c>
      <c r="F37" s="2" t="s">
        <v>1796</v>
      </c>
      <c r="G37" s="2" t="s">
        <v>1667</v>
      </c>
      <c r="H37" s="2" t="s">
        <v>1669</v>
      </c>
      <c r="I37" s="1" t="s">
        <v>14</v>
      </c>
      <c r="J37" s="1" t="s">
        <v>1825</v>
      </c>
      <c r="L37" s="53">
        <v>0.17599999999999999</v>
      </c>
      <c r="M37" s="39"/>
      <c r="N37" s="39"/>
      <c r="O37" s="39">
        <v>1309.48</v>
      </c>
      <c r="P37" s="39">
        <v>478.17</v>
      </c>
      <c r="Q37" s="39"/>
      <c r="R37" s="39"/>
      <c r="S37" s="39"/>
      <c r="T37" s="39"/>
      <c r="U37" s="39"/>
      <c r="V37" s="39"/>
      <c r="W37" s="60" t="s">
        <v>1742</v>
      </c>
    </row>
    <row r="38" spans="1:255" ht="51" x14ac:dyDescent="0.2">
      <c r="A38" s="1" t="s">
        <v>101</v>
      </c>
      <c r="B38" s="2" t="s">
        <v>38</v>
      </c>
      <c r="C38" s="2" t="s">
        <v>102</v>
      </c>
      <c r="D38" s="2" t="s">
        <v>100</v>
      </c>
      <c r="E38" s="2">
        <v>2021</v>
      </c>
      <c r="F38" s="2" t="s">
        <v>1798</v>
      </c>
      <c r="G38" s="2" t="s">
        <v>1667</v>
      </c>
      <c r="H38" s="2" t="s">
        <v>1669</v>
      </c>
      <c r="I38" s="1" t="s">
        <v>14</v>
      </c>
      <c r="J38" s="1" t="s">
        <v>1826</v>
      </c>
      <c r="L38" s="53">
        <v>0.17599999999999999</v>
      </c>
      <c r="M38" s="39"/>
      <c r="N38" s="39"/>
      <c r="O38" s="39">
        <v>1398.21</v>
      </c>
      <c r="P38" s="39">
        <v>142.19999999999999</v>
      </c>
      <c r="Q38" s="39"/>
      <c r="R38" s="39"/>
      <c r="S38" s="39"/>
      <c r="T38" s="39"/>
      <c r="U38" s="39"/>
      <c r="V38" s="39"/>
      <c r="W38" s="60" t="s">
        <v>1742</v>
      </c>
    </row>
    <row r="39" spans="1:255" s="2" customFormat="1" ht="63.75" x14ac:dyDescent="0.2">
      <c r="A39" s="1" t="s">
        <v>990</v>
      </c>
      <c r="B39" s="2" t="s">
        <v>196</v>
      </c>
      <c r="C39" s="2" t="s">
        <v>74</v>
      </c>
      <c r="D39" s="2" t="s">
        <v>74</v>
      </c>
      <c r="E39" s="2">
        <v>2021</v>
      </c>
      <c r="F39" s="2" t="s">
        <v>1789</v>
      </c>
      <c r="G39" s="2" t="s">
        <v>1669</v>
      </c>
      <c r="H39" s="2" t="s">
        <v>1669</v>
      </c>
      <c r="I39" s="1" t="s">
        <v>1827</v>
      </c>
      <c r="J39" s="1" t="s">
        <v>1828</v>
      </c>
      <c r="K39" s="17"/>
      <c r="L39" s="33">
        <v>0.23</v>
      </c>
      <c r="M39" s="15"/>
      <c r="N39" s="15"/>
      <c r="O39" s="15">
        <f>1848.54*0.04/L39</f>
        <v>321.48521739130433</v>
      </c>
      <c r="P39" s="15"/>
      <c r="Q39" s="15"/>
      <c r="R39" s="15"/>
      <c r="S39" s="15"/>
      <c r="T39" s="15"/>
      <c r="U39" s="15"/>
      <c r="V39" s="15"/>
      <c r="W39" s="60" t="s">
        <v>1829</v>
      </c>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row>
    <row r="40" spans="1:255" ht="255" x14ac:dyDescent="0.2">
      <c r="A40" s="1" t="s">
        <v>990</v>
      </c>
      <c r="B40" s="2" t="s">
        <v>196</v>
      </c>
      <c r="C40" s="2" t="s">
        <v>74</v>
      </c>
      <c r="D40" s="2" t="s">
        <v>74</v>
      </c>
      <c r="E40" s="2">
        <v>2021</v>
      </c>
      <c r="F40" s="2" t="s">
        <v>1791</v>
      </c>
      <c r="G40" s="2" t="s">
        <v>1669</v>
      </c>
      <c r="H40" s="2" t="s">
        <v>1669</v>
      </c>
      <c r="I40" s="1" t="s">
        <v>1830</v>
      </c>
      <c r="J40" s="1" t="s">
        <v>1831</v>
      </c>
      <c r="L40" s="53">
        <v>0.23499999999999999</v>
      </c>
      <c r="M40" s="39"/>
      <c r="N40" s="39"/>
      <c r="O40" s="39">
        <f>(2220+2080)*0.045/L40</f>
        <v>823.404255319149</v>
      </c>
      <c r="P40" s="39"/>
      <c r="Q40" s="39"/>
      <c r="R40" s="39"/>
      <c r="S40" s="39"/>
      <c r="T40" s="39"/>
      <c r="U40" s="39"/>
      <c r="V40" s="39"/>
      <c r="W40" s="60" t="s">
        <v>1829</v>
      </c>
    </row>
    <row r="41" spans="1:255" s="2" customFormat="1" ht="89.25" x14ac:dyDescent="0.2">
      <c r="A41" s="1" t="s">
        <v>990</v>
      </c>
      <c r="B41" s="2" t="s">
        <v>196</v>
      </c>
      <c r="C41" s="2" t="s">
        <v>74</v>
      </c>
      <c r="D41" s="2" t="s">
        <v>74</v>
      </c>
      <c r="E41" s="2">
        <v>2021</v>
      </c>
      <c r="F41" s="2" t="s">
        <v>311</v>
      </c>
      <c r="G41" s="2" t="s">
        <v>1669</v>
      </c>
      <c r="H41" s="2" t="s">
        <v>1669</v>
      </c>
      <c r="I41" s="1" t="s">
        <v>1832</v>
      </c>
      <c r="J41" s="1" t="s">
        <v>1832</v>
      </c>
      <c r="K41" s="17"/>
      <c r="L41" s="33">
        <v>0.2349</v>
      </c>
      <c r="M41" s="15"/>
      <c r="N41" s="15"/>
      <c r="O41" s="15">
        <f>4000*0.04/L41</f>
        <v>681.14091102596853</v>
      </c>
      <c r="P41" s="15"/>
      <c r="Q41" s="15"/>
      <c r="R41" s="15"/>
      <c r="S41" s="15"/>
      <c r="T41" s="15"/>
      <c r="U41" s="15"/>
      <c r="V41" s="15"/>
      <c r="W41" s="60" t="s">
        <v>1829</v>
      </c>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row>
    <row r="42" spans="1:255" s="2" customFormat="1" ht="63.75" x14ac:dyDescent="0.2">
      <c r="A42" s="1" t="s">
        <v>476</v>
      </c>
      <c r="B42" s="2" t="s">
        <v>383</v>
      </c>
      <c r="C42" s="2" t="s">
        <v>477</v>
      </c>
      <c r="D42" s="2" t="s">
        <v>275</v>
      </c>
      <c r="E42" s="2">
        <v>2021</v>
      </c>
      <c r="F42" s="2" t="s">
        <v>311</v>
      </c>
      <c r="G42" s="2" t="s">
        <v>1669</v>
      </c>
      <c r="H42" s="2" t="s">
        <v>1669</v>
      </c>
      <c r="I42" s="1" t="s">
        <v>1833</v>
      </c>
      <c r="J42" s="1" t="s">
        <v>1834</v>
      </c>
      <c r="K42" s="17"/>
      <c r="L42" s="33">
        <v>0.22600000000000001</v>
      </c>
      <c r="M42" s="15"/>
      <c r="N42" s="15"/>
      <c r="O42" s="15">
        <f>(94.35+32.8+12.49)/L42</f>
        <v>617.87610619469024</v>
      </c>
      <c r="P42" s="15"/>
      <c r="Q42" s="15"/>
      <c r="R42" s="15"/>
      <c r="S42" s="15"/>
      <c r="T42" s="15"/>
      <c r="U42" s="15"/>
      <c r="V42" s="15"/>
      <c r="W42" s="60" t="s">
        <v>1835</v>
      </c>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row>
    <row r="43" spans="1:255" s="2" customFormat="1" ht="204" x14ac:dyDescent="0.2">
      <c r="A43" s="1" t="s">
        <v>476</v>
      </c>
      <c r="B43" s="2" t="s">
        <v>383</v>
      </c>
      <c r="C43" s="2" t="s">
        <v>477</v>
      </c>
      <c r="D43" s="2" t="s">
        <v>275</v>
      </c>
      <c r="E43" s="2">
        <v>2021</v>
      </c>
      <c r="F43" s="2" t="s">
        <v>1794</v>
      </c>
      <c r="G43" s="2" t="s">
        <v>1669</v>
      </c>
      <c r="H43" s="2" t="s">
        <v>1669</v>
      </c>
      <c r="I43" s="1" t="s">
        <v>1836</v>
      </c>
      <c r="J43" s="1" t="s">
        <v>1837</v>
      </c>
      <c r="K43" s="17"/>
      <c r="L43" s="33">
        <v>0.22600000000000001</v>
      </c>
      <c r="M43" s="15"/>
      <c r="N43" s="15"/>
      <c r="O43" s="15">
        <f>731.86/L43</f>
        <v>3238.3185840707965</v>
      </c>
      <c r="P43" s="15"/>
      <c r="Q43" s="15"/>
      <c r="R43" s="15"/>
      <c r="S43" s="15"/>
      <c r="T43" s="15"/>
      <c r="U43" s="15"/>
      <c r="V43" s="15"/>
      <c r="W43" s="60" t="s">
        <v>1838</v>
      </c>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row>
    <row r="44" spans="1:255" ht="127.5" x14ac:dyDescent="0.2">
      <c r="A44" s="1" t="s">
        <v>476</v>
      </c>
      <c r="B44" s="2" t="s">
        <v>383</v>
      </c>
      <c r="C44" s="2" t="s">
        <v>477</v>
      </c>
      <c r="D44" s="2" t="s">
        <v>275</v>
      </c>
      <c r="E44" s="2">
        <v>2021</v>
      </c>
      <c r="F44" s="2" t="s">
        <v>1796</v>
      </c>
      <c r="G44" s="2" t="s">
        <v>1669</v>
      </c>
      <c r="H44" s="2" t="s">
        <v>1669</v>
      </c>
      <c r="I44" s="1" t="s">
        <v>1839</v>
      </c>
      <c r="J44" s="1" t="s">
        <v>1840</v>
      </c>
      <c r="L44" s="53" t="s">
        <v>1670</v>
      </c>
      <c r="M44" s="39"/>
      <c r="N44" s="39"/>
      <c r="O44" s="39">
        <f>(271.68+38.12+127.86+13.79+51.86+84.73)/0.226</f>
        <v>2601.9469026548677</v>
      </c>
      <c r="P44" s="39"/>
      <c r="Q44" s="39"/>
      <c r="R44" s="39"/>
      <c r="S44" s="39"/>
      <c r="T44" s="39"/>
      <c r="U44" s="39"/>
      <c r="V44" s="39"/>
      <c r="W44" s="60" t="s">
        <v>1841</v>
      </c>
    </row>
    <row r="45" spans="1:255" ht="63.75" x14ac:dyDescent="0.2">
      <c r="A45" s="1" t="s">
        <v>476</v>
      </c>
      <c r="B45" s="2" t="s">
        <v>383</v>
      </c>
      <c r="C45" s="2" t="s">
        <v>477</v>
      </c>
      <c r="D45" s="2" t="s">
        <v>275</v>
      </c>
      <c r="E45" s="2">
        <v>2021</v>
      </c>
      <c r="F45" s="2" t="s">
        <v>1798</v>
      </c>
      <c r="G45" s="2" t="s">
        <v>1669</v>
      </c>
      <c r="H45" s="2" t="s">
        <v>1669</v>
      </c>
      <c r="I45" s="1" t="s">
        <v>1842</v>
      </c>
      <c r="J45" s="1" t="s">
        <v>1843</v>
      </c>
      <c r="L45" s="53">
        <v>0.25469999999999998</v>
      </c>
      <c r="M45" s="39"/>
      <c r="N45" s="39"/>
      <c r="O45" s="39">
        <f>113/L45</f>
        <v>443.65920691009035</v>
      </c>
      <c r="P45" s="39"/>
      <c r="Q45" s="39"/>
      <c r="R45" s="39"/>
      <c r="S45" s="39"/>
      <c r="T45" s="39"/>
      <c r="U45" s="39"/>
      <c r="V45" s="39"/>
      <c r="W45" s="60" t="s">
        <v>1844</v>
      </c>
    </row>
    <row r="46" spans="1:255" ht="102" x14ac:dyDescent="0.2">
      <c r="A46" s="1" t="s">
        <v>1845</v>
      </c>
      <c r="B46" s="2" t="s">
        <v>196</v>
      </c>
      <c r="C46" s="2" t="s">
        <v>1846</v>
      </c>
      <c r="D46" s="2" t="s">
        <v>1847</v>
      </c>
      <c r="E46" s="2">
        <v>2021</v>
      </c>
      <c r="F46" s="2" t="s">
        <v>1796</v>
      </c>
      <c r="G46" s="2" t="s">
        <v>1669</v>
      </c>
      <c r="H46" s="2" t="s">
        <v>1669</v>
      </c>
      <c r="I46" s="1" t="s">
        <v>1848</v>
      </c>
      <c r="J46" s="1" t="s">
        <v>1849</v>
      </c>
      <c r="L46" s="53">
        <v>0.22</v>
      </c>
      <c r="M46" s="39"/>
      <c r="N46" s="39"/>
      <c r="O46" s="39">
        <f>2034+3411</f>
        <v>5445</v>
      </c>
      <c r="P46" s="39"/>
      <c r="Q46" s="39"/>
      <c r="R46" s="39"/>
      <c r="S46" s="39"/>
      <c r="T46" s="39"/>
      <c r="U46" s="39"/>
      <c r="V46" s="39"/>
      <c r="W46" s="60"/>
    </row>
    <row r="47" spans="1:255" ht="140.25" x14ac:dyDescent="0.2">
      <c r="A47" s="1" t="s">
        <v>1845</v>
      </c>
      <c r="B47" s="2" t="s">
        <v>196</v>
      </c>
      <c r="C47" s="2" t="s">
        <v>1846</v>
      </c>
      <c r="D47" s="2" t="s">
        <v>1847</v>
      </c>
      <c r="E47" s="2">
        <v>2021</v>
      </c>
      <c r="F47" s="2" t="s">
        <v>1798</v>
      </c>
      <c r="G47" s="2" t="s">
        <v>1669</v>
      </c>
      <c r="H47" s="2" t="s">
        <v>1669</v>
      </c>
      <c r="I47" s="1" t="s">
        <v>1850</v>
      </c>
      <c r="J47" s="1" t="s">
        <v>1851</v>
      </c>
      <c r="L47" s="53">
        <v>0.21</v>
      </c>
      <c r="M47" s="39"/>
      <c r="N47" s="39"/>
      <c r="O47" s="39">
        <f>181+853</f>
        <v>1034</v>
      </c>
      <c r="P47" s="39"/>
      <c r="Q47" s="39"/>
      <c r="R47" s="39"/>
      <c r="S47" s="39"/>
      <c r="T47" s="39"/>
      <c r="U47" s="39"/>
      <c r="V47" s="39"/>
      <c r="W47" s="60" t="s">
        <v>1852</v>
      </c>
    </row>
    <row r="48" spans="1:255" ht="63.75" x14ac:dyDescent="0.2">
      <c r="A48" s="1" t="s">
        <v>334</v>
      </c>
      <c r="B48" s="2" t="s">
        <v>196</v>
      </c>
      <c r="C48" s="2" t="s">
        <v>335</v>
      </c>
      <c r="D48" s="2" t="s">
        <v>141</v>
      </c>
      <c r="E48" s="2">
        <v>2021</v>
      </c>
      <c r="F48" s="2" t="s">
        <v>311</v>
      </c>
      <c r="G48" s="2" t="s">
        <v>1669</v>
      </c>
      <c r="H48" s="2" t="s">
        <v>1669</v>
      </c>
      <c r="I48" s="1" t="s">
        <v>1853</v>
      </c>
      <c r="J48" s="1" t="s">
        <v>1854</v>
      </c>
      <c r="L48" s="53">
        <v>0.27</v>
      </c>
      <c r="M48" s="39"/>
      <c r="N48" s="39"/>
      <c r="O48" s="39">
        <f>273+257</f>
        <v>530</v>
      </c>
      <c r="P48" s="39"/>
      <c r="Q48" s="39"/>
      <c r="R48" s="39"/>
      <c r="S48" s="39"/>
      <c r="T48" s="39"/>
      <c r="U48" s="39"/>
      <c r="V48" s="39"/>
      <c r="W48" s="60" t="s">
        <v>1743</v>
      </c>
    </row>
    <row r="49" spans="1:23" ht="63.75" x14ac:dyDescent="0.2">
      <c r="A49" s="1" t="s">
        <v>334</v>
      </c>
      <c r="B49" s="2" t="s">
        <v>196</v>
      </c>
      <c r="C49" s="2" t="s">
        <v>335</v>
      </c>
      <c r="D49" s="2" t="s">
        <v>141</v>
      </c>
      <c r="E49" s="2">
        <v>2021</v>
      </c>
      <c r="F49" s="2" t="s">
        <v>1794</v>
      </c>
      <c r="G49" s="2" t="s">
        <v>1669</v>
      </c>
      <c r="H49" s="2" t="s">
        <v>1669</v>
      </c>
      <c r="I49" s="1" t="s">
        <v>1855</v>
      </c>
      <c r="J49" s="1" t="s">
        <v>1855</v>
      </c>
      <c r="L49" s="53">
        <v>0.20810000000000001</v>
      </c>
      <c r="M49" s="39"/>
      <c r="N49" s="39"/>
      <c r="O49" s="39">
        <f>660+1631</f>
        <v>2291</v>
      </c>
      <c r="P49" s="39"/>
      <c r="Q49" s="39"/>
      <c r="R49" s="39"/>
      <c r="S49" s="39"/>
      <c r="T49" s="39"/>
      <c r="U49" s="39"/>
      <c r="V49" s="39"/>
      <c r="W49" s="60" t="s">
        <v>1743</v>
      </c>
    </row>
    <row r="50" spans="1:23" ht="51" x14ac:dyDescent="0.2">
      <c r="A50" s="1" t="s">
        <v>334</v>
      </c>
      <c r="B50" s="2" t="s">
        <v>196</v>
      </c>
      <c r="C50" s="2" t="s">
        <v>335</v>
      </c>
      <c r="D50" s="2" t="s">
        <v>141</v>
      </c>
      <c r="E50" s="2">
        <v>2021</v>
      </c>
      <c r="F50" s="2" t="s">
        <v>1796</v>
      </c>
      <c r="G50" s="2" t="s">
        <v>1669</v>
      </c>
      <c r="H50" s="2" t="s">
        <v>1669</v>
      </c>
      <c r="I50" s="1" t="s">
        <v>1856</v>
      </c>
      <c r="J50" s="1" t="s">
        <v>1857</v>
      </c>
      <c r="L50" s="53" t="s">
        <v>1670</v>
      </c>
      <c r="M50" s="39"/>
      <c r="N50" s="39"/>
      <c r="O50" s="39">
        <f>617+500</f>
        <v>1117</v>
      </c>
      <c r="P50" s="39"/>
      <c r="Q50" s="39"/>
      <c r="R50" s="39"/>
      <c r="S50" s="39"/>
      <c r="T50" s="39"/>
      <c r="U50" s="39"/>
      <c r="V50" s="39"/>
      <c r="W50" s="60" t="s">
        <v>1743</v>
      </c>
    </row>
    <row r="51" spans="1:23" ht="51" x14ac:dyDescent="0.2">
      <c r="A51" s="1" t="s">
        <v>151</v>
      </c>
      <c r="B51" s="2" t="s">
        <v>16</v>
      </c>
      <c r="C51" s="2" t="s">
        <v>152</v>
      </c>
      <c r="D51" s="2" t="s">
        <v>141</v>
      </c>
      <c r="E51" s="2">
        <v>2021</v>
      </c>
      <c r="F51" s="2" t="s">
        <v>1776</v>
      </c>
      <c r="G51" s="2" t="s">
        <v>1667</v>
      </c>
      <c r="H51" s="2" t="s">
        <v>1669</v>
      </c>
      <c r="I51" s="1" t="s">
        <v>14</v>
      </c>
      <c r="J51" s="1" t="s">
        <v>1858</v>
      </c>
      <c r="L51" s="53">
        <v>0.21160000000000001</v>
      </c>
      <c r="M51" s="39"/>
      <c r="N51" s="39"/>
      <c r="O51" s="39"/>
      <c r="P51" s="39"/>
      <c r="Q51" s="39"/>
      <c r="R51" s="39"/>
      <c r="S51" s="39">
        <f>1388*0.04/L51*0.75</f>
        <v>196.78638941398867</v>
      </c>
      <c r="T51" s="39"/>
      <c r="U51" s="39"/>
      <c r="V51" s="39"/>
      <c r="W51" s="60" t="s">
        <v>1859</v>
      </c>
    </row>
    <row r="52" spans="1:23" ht="51" x14ac:dyDescent="0.2">
      <c r="A52" s="1" t="s">
        <v>151</v>
      </c>
      <c r="B52" s="2" t="s">
        <v>16</v>
      </c>
      <c r="C52" s="2" t="s">
        <v>152</v>
      </c>
      <c r="D52" s="2" t="s">
        <v>141</v>
      </c>
      <c r="E52" s="2">
        <v>2021</v>
      </c>
      <c r="F52" s="2" t="s">
        <v>1779</v>
      </c>
      <c r="G52" s="2" t="s">
        <v>1667</v>
      </c>
      <c r="H52" s="2" t="s">
        <v>1669</v>
      </c>
      <c r="I52" s="1" t="s">
        <v>14</v>
      </c>
      <c r="J52" s="1" t="s">
        <v>1860</v>
      </c>
      <c r="L52" s="53">
        <v>0.2084</v>
      </c>
      <c r="M52" s="39"/>
      <c r="N52" s="39"/>
      <c r="O52" s="39"/>
      <c r="P52" s="39"/>
      <c r="Q52" s="39"/>
      <c r="R52" s="39"/>
      <c r="S52" s="39">
        <f>1537*0.04/L52*0.75</f>
        <v>221.25719769673702</v>
      </c>
      <c r="T52" s="39"/>
      <c r="U52" s="39"/>
      <c r="V52" s="39"/>
      <c r="W52" s="60" t="s">
        <v>1859</v>
      </c>
    </row>
    <row r="53" spans="1:23" ht="51" x14ac:dyDescent="0.2">
      <c r="A53" s="1" t="s">
        <v>151</v>
      </c>
      <c r="B53" s="2" t="s">
        <v>16</v>
      </c>
      <c r="C53" s="2" t="s">
        <v>152</v>
      </c>
      <c r="D53" s="2" t="s">
        <v>141</v>
      </c>
      <c r="E53" s="2">
        <v>2021</v>
      </c>
      <c r="F53" s="2" t="s">
        <v>1781</v>
      </c>
      <c r="G53" s="2" t="s">
        <v>1667</v>
      </c>
      <c r="H53" s="2" t="s">
        <v>1669</v>
      </c>
      <c r="I53" s="1" t="s">
        <v>14</v>
      </c>
      <c r="J53" s="1" t="s">
        <v>1861</v>
      </c>
      <c r="L53" s="53">
        <v>0.2288</v>
      </c>
      <c r="M53" s="39"/>
      <c r="N53" s="39"/>
      <c r="O53" s="39"/>
      <c r="P53" s="39"/>
      <c r="Q53" s="39"/>
      <c r="R53" s="39"/>
      <c r="S53" s="39">
        <f>1602*0.04/L53*0.75</f>
        <v>210.05244755244757</v>
      </c>
      <c r="T53" s="39"/>
      <c r="U53" s="39"/>
      <c r="V53" s="39"/>
      <c r="W53" s="60" t="s">
        <v>1859</v>
      </c>
    </row>
    <row r="54" spans="1:23" ht="51" x14ac:dyDescent="0.2">
      <c r="A54" s="1" t="s">
        <v>151</v>
      </c>
      <c r="B54" s="2" t="s">
        <v>16</v>
      </c>
      <c r="C54" s="2" t="s">
        <v>152</v>
      </c>
      <c r="D54" s="2" t="s">
        <v>141</v>
      </c>
      <c r="E54" s="2">
        <v>2021</v>
      </c>
      <c r="F54" s="2" t="s">
        <v>1783</v>
      </c>
      <c r="G54" s="2" t="s">
        <v>1667</v>
      </c>
      <c r="H54" s="2" t="s">
        <v>1669</v>
      </c>
      <c r="I54" s="1" t="s">
        <v>14</v>
      </c>
      <c r="J54" s="1" t="s">
        <v>1862</v>
      </c>
      <c r="L54" s="53">
        <v>0.2321</v>
      </c>
      <c r="M54" s="39"/>
      <c r="N54" s="39"/>
      <c r="O54" s="39"/>
      <c r="P54" s="39"/>
      <c r="Q54" s="39"/>
      <c r="R54" s="39"/>
      <c r="S54" s="39">
        <f>1702*0.04/L54*0.75</f>
        <v>219.99138302455836</v>
      </c>
      <c r="T54" s="39"/>
      <c r="U54" s="39"/>
      <c r="V54" s="39"/>
      <c r="W54" s="60" t="s">
        <v>1859</v>
      </c>
    </row>
    <row r="55" spans="1:23" ht="51" x14ac:dyDescent="0.2">
      <c r="A55" s="1" t="s">
        <v>151</v>
      </c>
      <c r="B55" s="2" t="s">
        <v>16</v>
      </c>
      <c r="C55" s="2" t="s">
        <v>152</v>
      </c>
      <c r="D55" s="2" t="s">
        <v>141</v>
      </c>
      <c r="E55" s="2">
        <v>2021</v>
      </c>
      <c r="F55" s="2" t="s">
        <v>1785</v>
      </c>
      <c r="G55" s="2" t="s">
        <v>1667</v>
      </c>
      <c r="H55" s="2" t="s">
        <v>1669</v>
      </c>
      <c r="I55" s="1" t="s">
        <v>14</v>
      </c>
      <c r="J55" s="1" t="s">
        <v>1863</v>
      </c>
      <c r="L55" s="53">
        <v>0.23780000000000001</v>
      </c>
      <c r="M55" s="39"/>
      <c r="N55" s="39"/>
      <c r="O55" s="39"/>
      <c r="P55" s="39"/>
      <c r="Q55" s="39"/>
      <c r="R55" s="39"/>
      <c r="S55" s="39">
        <f>1726*0.04/L55*0.75</f>
        <v>217.74600504625738</v>
      </c>
      <c r="T55" s="39"/>
      <c r="U55" s="39"/>
      <c r="V55" s="39"/>
      <c r="W55" s="60" t="s">
        <v>1859</v>
      </c>
    </row>
    <row r="56" spans="1:23" ht="51" x14ac:dyDescent="0.2">
      <c r="A56" s="1" t="s">
        <v>151</v>
      </c>
      <c r="B56" s="2" t="s">
        <v>16</v>
      </c>
      <c r="C56" s="2" t="s">
        <v>152</v>
      </c>
      <c r="D56" s="2" t="s">
        <v>141</v>
      </c>
      <c r="E56" s="2">
        <v>2021</v>
      </c>
      <c r="F56" s="2" t="s">
        <v>1787</v>
      </c>
      <c r="G56" s="2" t="s">
        <v>1667</v>
      </c>
      <c r="H56" s="2" t="s">
        <v>1669</v>
      </c>
      <c r="I56" s="1" t="s">
        <v>14</v>
      </c>
      <c r="J56" s="1" t="s">
        <v>1864</v>
      </c>
      <c r="L56" s="53">
        <v>0.24</v>
      </c>
      <c r="M56" s="39"/>
      <c r="N56" s="39"/>
      <c r="O56" s="39"/>
      <c r="P56" s="39"/>
      <c r="Q56" s="39"/>
      <c r="R56" s="39"/>
      <c r="S56" s="39">
        <f>1396*0.04/L56*0.75</f>
        <v>174.5</v>
      </c>
      <c r="T56" s="39"/>
      <c r="U56" s="39"/>
      <c r="V56" s="39"/>
      <c r="W56" s="60" t="s">
        <v>1859</v>
      </c>
    </row>
    <row r="57" spans="1:23" ht="51" x14ac:dyDescent="0.2">
      <c r="A57" s="1" t="s">
        <v>151</v>
      </c>
      <c r="B57" s="2" t="s">
        <v>16</v>
      </c>
      <c r="C57" s="2" t="s">
        <v>152</v>
      </c>
      <c r="D57" s="2" t="s">
        <v>141</v>
      </c>
      <c r="E57" s="2">
        <v>2021</v>
      </c>
      <c r="F57" s="2" t="s">
        <v>1789</v>
      </c>
      <c r="G57" s="2" t="s">
        <v>1667</v>
      </c>
      <c r="H57" s="2" t="s">
        <v>1669</v>
      </c>
      <c r="I57" s="1" t="s">
        <v>14</v>
      </c>
      <c r="J57" s="1" t="s">
        <v>1865</v>
      </c>
      <c r="L57" s="53">
        <v>0.2286</v>
      </c>
      <c r="M57" s="39"/>
      <c r="N57" s="39"/>
      <c r="O57" s="39"/>
      <c r="P57" s="39"/>
      <c r="Q57" s="39"/>
      <c r="R57" s="39"/>
      <c r="S57" s="39">
        <f>1653*0.04/L57*0.75</f>
        <v>216.92913385826773</v>
      </c>
      <c r="T57" s="39"/>
      <c r="U57" s="39"/>
      <c r="V57" s="39"/>
      <c r="W57" s="60" t="s">
        <v>1859</v>
      </c>
    </row>
    <row r="58" spans="1:23" ht="51" x14ac:dyDescent="0.2">
      <c r="A58" s="1" t="s">
        <v>151</v>
      </c>
      <c r="B58" s="2" t="s">
        <v>16</v>
      </c>
      <c r="C58" s="2" t="s">
        <v>152</v>
      </c>
      <c r="D58" s="2" t="s">
        <v>141</v>
      </c>
      <c r="E58" s="2">
        <v>2021</v>
      </c>
      <c r="F58" s="2" t="s">
        <v>1791</v>
      </c>
      <c r="G58" s="2" t="s">
        <v>1667</v>
      </c>
      <c r="H58" s="2" t="s">
        <v>1669</v>
      </c>
      <c r="I58" s="1" t="s">
        <v>14</v>
      </c>
      <c r="J58" s="1" t="s">
        <v>1866</v>
      </c>
      <c r="L58" s="53">
        <v>0.23</v>
      </c>
      <c r="M58" s="39"/>
      <c r="N58" s="39"/>
      <c r="O58" s="39"/>
      <c r="P58" s="39"/>
      <c r="Q58" s="39"/>
      <c r="R58" s="39"/>
      <c r="S58" s="39">
        <f>1914*0.04/L58*0.75</f>
        <v>249.6521739130435</v>
      </c>
      <c r="T58" s="39"/>
      <c r="U58" s="39"/>
      <c r="V58" s="39"/>
      <c r="W58" s="60" t="s">
        <v>1859</v>
      </c>
    </row>
    <row r="59" spans="1:23" ht="51" x14ac:dyDescent="0.2">
      <c r="A59" s="1" t="s">
        <v>151</v>
      </c>
      <c r="B59" s="2" t="s">
        <v>16</v>
      </c>
      <c r="C59" s="2" t="s">
        <v>152</v>
      </c>
      <c r="D59" s="2" t="s">
        <v>141</v>
      </c>
      <c r="E59" s="2">
        <v>2021</v>
      </c>
      <c r="F59" s="2" t="s">
        <v>311</v>
      </c>
      <c r="G59" s="2" t="s">
        <v>1667</v>
      </c>
      <c r="H59" s="2" t="s">
        <v>1669</v>
      </c>
      <c r="I59" s="1" t="s">
        <v>14</v>
      </c>
      <c r="J59" s="1" t="s">
        <v>1867</v>
      </c>
      <c r="L59" s="53">
        <v>0.23050000000000001</v>
      </c>
      <c r="M59" s="39"/>
      <c r="N59" s="39"/>
      <c r="O59" s="39"/>
      <c r="P59" s="39"/>
      <c r="Q59" s="39"/>
      <c r="R59" s="39"/>
      <c r="S59" s="39">
        <f>1603*0.04/L59*0.75</f>
        <v>208.63340563991324</v>
      </c>
      <c r="T59" s="39"/>
      <c r="U59" s="39"/>
      <c r="V59" s="39"/>
      <c r="W59" s="60" t="s">
        <v>1859</v>
      </c>
    </row>
    <row r="60" spans="1:23" ht="51" x14ac:dyDescent="0.2">
      <c r="A60" s="1" t="s">
        <v>151</v>
      </c>
      <c r="B60" s="2" t="s">
        <v>16</v>
      </c>
      <c r="C60" s="2" t="s">
        <v>152</v>
      </c>
      <c r="D60" s="2" t="s">
        <v>141</v>
      </c>
      <c r="E60" s="2">
        <v>2021</v>
      </c>
      <c r="F60" s="2" t="s">
        <v>1794</v>
      </c>
      <c r="G60" s="2" t="s">
        <v>1667</v>
      </c>
      <c r="H60" s="2" t="s">
        <v>1669</v>
      </c>
      <c r="I60" s="1" t="s">
        <v>14</v>
      </c>
      <c r="J60" s="1" t="s">
        <v>1868</v>
      </c>
      <c r="L60" s="53">
        <v>0.23</v>
      </c>
      <c r="M60" s="39"/>
      <c r="N60" s="39"/>
      <c r="O60" s="39"/>
      <c r="P60" s="39"/>
      <c r="Q60" s="39"/>
      <c r="R60" s="39"/>
      <c r="S60" s="39">
        <f>1459*0.04/L60*0.75</f>
        <v>190.30434782608694</v>
      </c>
      <c r="T60" s="39"/>
      <c r="U60" s="39"/>
      <c r="V60" s="39"/>
      <c r="W60" s="60" t="s">
        <v>1859</v>
      </c>
    </row>
    <row r="61" spans="1:23" ht="51" x14ac:dyDescent="0.2">
      <c r="A61" s="1" t="s">
        <v>151</v>
      </c>
      <c r="B61" s="2" t="s">
        <v>16</v>
      </c>
      <c r="C61" s="2" t="s">
        <v>152</v>
      </c>
      <c r="D61" s="2" t="s">
        <v>141</v>
      </c>
      <c r="E61" s="2">
        <v>2021</v>
      </c>
      <c r="F61" s="2" t="s">
        <v>1796</v>
      </c>
      <c r="G61" s="2" t="s">
        <v>1667</v>
      </c>
      <c r="H61" s="2" t="s">
        <v>1669</v>
      </c>
      <c r="I61" s="1" t="s">
        <v>14</v>
      </c>
      <c r="J61" s="1" t="s">
        <v>1869</v>
      </c>
      <c r="L61" s="53">
        <v>0.223</v>
      </c>
      <c r="M61" s="39"/>
      <c r="N61" s="39"/>
      <c r="O61" s="39"/>
      <c r="P61" s="39"/>
      <c r="Q61" s="39"/>
      <c r="R61" s="39"/>
      <c r="S61" s="39">
        <f>2110*0.04/L61*0.75</f>
        <v>283.85650224215249</v>
      </c>
      <c r="T61" s="39"/>
      <c r="U61" s="39"/>
      <c r="V61" s="39"/>
      <c r="W61" s="60" t="s">
        <v>1859</v>
      </c>
    </row>
    <row r="62" spans="1:23" ht="51" x14ac:dyDescent="0.2">
      <c r="A62" s="1" t="s">
        <v>151</v>
      </c>
      <c r="B62" s="2" t="s">
        <v>16</v>
      </c>
      <c r="C62" s="2" t="s">
        <v>152</v>
      </c>
      <c r="D62" s="2" t="s">
        <v>141</v>
      </c>
      <c r="E62" s="2">
        <v>2021</v>
      </c>
      <c r="F62" s="2" t="s">
        <v>1798</v>
      </c>
      <c r="G62" s="2" t="s">
        <v>1667</v>
      </c>
      <c r="H62" s="2" t="s">
        <v>1669</v>
      </c>
      <c r="I62" s="1" t="s">
        <v>14</v>
      </c>
      <c r="J62" s="1" t="s">
        <v>1870</v>
      </c>
      <c r="L62" s="53">
        <v>0.214</v>
      </c>
      <c r="M62" s="39"/>
      <c r="N62" s="39"/>
      <c r="O62" s="39"/>
      <c r="P62" s="39"/>
      <c r="Q62" s="39"/>
      <c r="R62" s="39"/>
      <c r="S62" s="39">
        <f>2442*0.04/L62*0.75</f>
        <v>342.33644859813086</v>
      </c>
      <c r="T62" s="39"/>
      <c r="U62" s="39"/>
      <c r="V62" s="39"/>
      <c r="W62" s="60" t="s">
        <v>1859</v>
      </c>
    </row>
    <row r="63" spans="1:23" ht="89.25" x14ac:dyDescent="0.2">
      <c r="A63" s="1" t="s">
        <v>1871</v>
      </c>
      <c r="B63" s="2" t="s">
        <v>196</v>
      </c>
      <c r="C63" s="2" t="s">
        <v>148</v>
      </c>
      <c r="D63" s="2" t="s">
        <v>108</v>
      </c>
      <c r="E63" s="2">
        <v>2021</v>
      </c>
      <c r="F63" s="2" t="s">
        <v>311</v>
      </c>
      <c r="G63" s="2" t="s">
        <v>1669</v>
      </c>
      <c r="H63" s="2" t="s">
        <v>1669</v>
      </c>
      <c r="I63" s="1" t="s">
        <v>1872</v>
      </c>
      <c r="J63" s="1" t="s">
        <v>1872</v>
      </c>
      <c r="L63" s="53">
        <v>0.187</v>
      </c>
      <c r="M63" s="39"/>
      <c r="N63" s="39"/>
      <c r="O63" s="39">
        <v>652.5</v>
      </c>
      <c r="P63" s="39"/>
      <c r="Q63" s="39"/>
      <c r="R63" s="39"/>
      <c r="S63" s="39"/>
      <c r="T63" s="39"/>
      <c r="U63" s="39"/>
      <c r="V63" s="39"/>
      <c r="W63" s="60"/>
    </row>
    <row r="64" spans="1:23" ht="25.5" x14ac:dyDescent="0.2">
      <c r="A64" s="1" t="s">
        <v>86</v>
      </c>
      <c r="B64" s="2" t="s">
        <v>29</v>
      </c>
      <c r="C64" s="2" t="s">
        <v>87</v>
      </c>
      <c r="D64" s="2" t="s">
        <v>88</v>
      </c>
      <c r="E64" s="2">
        <v>2021</v>
      </c>
      <c r="F64" s="2" t="s">
        <v>1776</v>
      </c>
      <c r="G64" s="2" t="s">
        <v>1667</v>
      </c>
      <c r="H64" s="2" t="s">
        <v>1669</v>
      </c>
      <c r="I64" s="1" t="s">
        <v>14</v>
      </c>
      <c r="J64" s="1" t="s">
        <v>1873</v>
      </c>
      <c r="L64" s="33">
        <v>0.19</v>
      </c>
      <c r="M64" s="15"/>
      <c r="N64" s="15"/>
      <c r="O64" s="15">
        <f>374.7/2</f>
        <v>187.35</v>
      </c>
      <c r="P64" s="15">
        <f>374.7/2</f>
        <v>187.35</v>
      </c>
      <c r="Q64" s="15"/>
      <c r="R64" s="15"/>
      <c r="S64" s="15"/>
      <c r="T64" s="15"/>
      <c r="U64" s="15"/>
      <c r="V64" s="15"/>
      <c r="W64" s="60" t="s">
        <v>1749</v>
      </c>
    </row>
    <row r="65" spans="1:23" ht="25.5" x14ac:dyDescent="0.2">
      <c r="A65" s="1" t="s">
        <v>86</v>
      </c>
      <c r="B65" s="2" t="s">
        <v>29</v>
      </c>
      <c r="C65" s="2" t="s">
        <v>87</v>
      </c>
      <c r="D65" s="2" t="s">
        <v>88</v>
      </c>
      <c r="E65" s="2">
        <v>2021</v>
      </c>
      <c r="F65" s="2" t="s">
        <v>1779</v>
      </c>
      <c r="G65" s="2" t="s">
        <v>1667</v>
      </c>
      <c r="H65" s="2" t="s">
        <v>1669</v>
      </c>
      <c r="I65" s="1" t="s">
        <v>14</v>
      </c>
      <c r="J65" s="1" t="s">
        <v>1874</v>
      </c>
      <c r="L65" s="53">
        <v>0.20100000000000001</v>
      </c>
      <c r="M65" s="39"/>
      <c r="N65" s="39"/>
      <c r="O65" s="39">
        <f>104.5/2</f>
        <v>52.25</v>
      </c>
      <c r="P65" s="39">
        <f>104.5/2</f>
        <v>52.25</v>
      </c>
      <c r="Q65" s="39"/>
      <c r="R65" s="39"/>
      <c r="S65" s="39"/>
      <c r="T65" s="39"/>
      <c r="U65" s="39"/>
      <c r="V65" s="39"/>
      <c r="W65" s="60" t="s">
        <v>1749</v>
      </c>
    </row>
    <row r="66" spans="1:23" ht="38.25" x14ac:dyDescent="0.2">
      <c r="A66" s="1" t="s">
        <v>86</v>
      </c>
      <c r="B66" s="2" t="s">
        <v>29</v>
      </c>
      <c r="C66" s="2" t="s">
        <v>87</v>
      </c>
      <c r="D66" s="2" t="s">
        <v>88</v>
      </c>
      <c r="E66" s="2">
        <v>2021</v>
      </c>
      <c r="F66" s="2" t="s">
        <v>1781</v>
      </c>
      <c r="G66" s="2" t="s">
        <v>1667</v>
      </c>
      <c r="H66" s="2" t="s">
        <v>1669</v>
      </c>
      <c r="I66" s="1" t="s">
        <v>14</v>
      </c>
      <c r="J66" s="1" t="s">
        <v>1875</v>
      </c>
      <c r="L66" s="53">
        <v>0.20499999999999999</v>
      </c>
      <c r="M66" s="39"/>
      <c r="N66" s="39"/>
      <c r="O66" s="39">
        <f>350.5/2</f>
        <v>175.25</v>
      </c>
      <c r="P66" s="39">
        <f>350.5/2</f>
        <v>175.25</v>
      </c>
      <c r="Q66" s="39"/>
      <c r="R66" s="39"/>
      <c r="S66" s="39"/>
      <c r="T66" s="39"/>
      <c r="U66" s="39"/>
      <c r="V66" s="39"/>
      <c r="W66" s="60" t="s">
        <v>1749</v>
      </c>
    </row>
    <row r="67" spans="1:23" ht="38.25" x14ac:dyDescent="0.2">
      <c r="A67" s="1" t="s">
        <v>86</v>
      </c>
      <c r="B67" s="2" t="s">
        <v>29</v>
      </c>
      <c r="C67" s="2" t="s">
        <v>87</v>
      </c>
      <c r="D67" s="2" t="s">
        <v>88</v>
      </c>
      <c r="E67" s="2">
        <v>2021</v>
      </c>
      <c r="F67" s="2" t="s">
        <v>1783</v>
      </c>
      <c r="G67" s="2" t="s">
        <v>1667</v>
      </c>
      <c r="H67" s="2" t="s">
        <v>1669</v>
      </c>
      <c r="I67" s="1" t="s">
        <v>14</v>
      </c>
      <c r="J67" s="1" t="s">
        <v>1876</v>
      </c>
      <c r="L67" s="53">
        <v>0.20699999999999999</v>
      </c>
      <c r="M67" s="39"/>
      <c r="N67" s="39"/>
      <c r="O67" s="39">
        <f>334.7/2</f>
        <v>167.35</v>
      </c>
      <c r="P67" s="39">
        <f>334.7/2</f>
        <v>167.35</v>
      </c>
      <c r="Q67" s="39"/>
      <c r="R67" s="39"/>
      <c r="S67" s="39"/>
      <c r="T67" s="39"/>
      <c r="U67" s="39"/>
      <c r="V67" s="39"/>
      <c r="W67" s="60" t="s">
        <v>1749</v>
      </c>
    </row>
    <row r="68" spans="1:23" ht="38.25" x14ac:dyDescent="0.2">
      <c r="A68" s="1" t="s">
        <v>86</v>
      </c>
      <c r="B68" s="2" t="s">
        <v>29</v>
      </c>
      <c r="C68" s="2" t="s">
        <v>87</v>
      </c>
      <c r="D68" s="2" t="s">
        <v>88</v>
      </c>
      <c r="E68" s="2">
        <v>2021</v>
      </c>
      <c r="F68" s="2" t="s">
        <v>1785</v>
      </c>
      <c r="G68" s="2" t="s">
        <v>1667</v>
      </c>
      <c r="H68" s="2" t="s">
        <v>1669</v>
      </c>
      <c r="I68" s="1" t="s">
        <v>14</v>
      </c>
      <c r="J68" s="1" t="s">
        <v>1877</v>
      </c>
      <c r="L68" s="53">
        <v>0.19</v>
      </c>
      <c r="M68" s="39"/>
      <c r="N68" s="39"/>
      <c r="O68" s="39">
        <f>339.3/2</f>
        <v>169.65</v>
      </c>
      <c r="P68" s="39">
        <f>339.3/2</f>
        <v>169.65</v>
      </c>
      <c r="Q68" s="39"/>
      <c r="R68" s="39"/>
      <c r="S68" s="39"/>
      <c r="T68" s="39"/>
      <c r="U68" s="39"/>
      <c r="V68" s="39"/>
      <c r="W68" s="60" t="s">
        <v>1749</v>
      </c>
    </row>
    <row r="69" spans="1:23" ht="38.25" x14ac:dyDescent="0.2">
      <c r="A69" s="1" t="s">
        <v>86</v>
      </c>
      <c r="B69" s="2" t="s">
        <v>29</v>
      </c>
      <c r="C69" s="2" t="s">
        <v>87</v>
      </c>
      <c r="D69" s="2" t="s">
        <v>88</v>
      </c>
      <c r="E69" s="2">
        <v>2021</v>
      </c>
      <c r="F69" s="2" t="s">
        <v>1787</v>
      </c>
      <c r="G69" s="2" t="s">
        <v>1667</v>
      </c>
      <c r="H69" s="2" t="s">
        <v>1669</v>
      </c>
      <c r="I69" s="1" t="s">
        <v>14</v>
      </c>
      <c r="J69" s="1" t="s">
        <v>1878</v>
      </c>
      <c r="L69" s="53">
        <v>0.182</v>
      </c>
      <c r="M69" s="39"/>
      <c r="N69" s="39"/>
      <c r="O69" s="39">
        <f>307.2/2</f>
        <v>153.6</v>
      </c>
      <c r="P69" s="39">
        <f>307.2/2</f>
        <v>153.6</v>
      </c>
      <c r="Q69" s="39"/>
      <c r="R69" s="39"/>
      <c r="S69" s="39"/>
      <c r="T69" s="39"/>
      <c r="U69" s="39"/>
      <c r="V69" s="39"/>
      <c r="W69" s="60" t="s">
        <v>1749</v>
      </c>
    </row>
    <row r="70" spans="1:23" ht="38.25" x14ac:dyDescent="0.2">
      <c r="A70" s="1" t="s">
        <v>86</v>
      </c>
      <c r="B70" s="2" t="s">
        <v>29</v>
      </c>
      <c r="C70" s="2" t="s">
        <v>87</v>
      </c>
      <c r="D70" s="2" t="s">
        <v>88</v>
      </c>
      <c r="E70" s="2">
        <v>2021</v>
      </c>
      <c r="F70" s="2" t="s">
        <v>1789</v>
      </c>
      <c r="G70" s="2" t="s">
        <v>1667</v>
      </c>
      <c r="H70" s="2" t="s">
        <v>1669</v>
      </c>
      <c r="I70" s="1" t="s">
        <v>14</v>
      </c>
      <c r="J70" s="1" t="s">
        <v>1879</v>
      </c>
      <c r="L70" s="53">
        <v>0.183</v>
      </c>
      <c r="M70" s="39"/>
      <c r="N70" s="39"/>
      <c r="O70" s="39">
        <f>414.8/2</f>
        <v>207.4</v>
      </c>
      <c r="P70" s="39">
        <f>414.8/2</f>
        <v>207.4</v>
      </c>
      <c r="Q70" s="39"/>
      <c r="R70" s="39"/>
      <c r="S70" s="39"/>
      <c r="T70" s="39"/>
      <c r="U70" s="39"/>
      <c r="V70" s="39"/>
      <c r="W70" s="60" t="s">
        <v>1749</v>
      </c>
    </row>
    <row r="71" spans="1:23" ht="51" x14ac:dyDescent="0.2">
      <c r="A71" s="1" t="s">
        <v>86</v>
      </c>
      <c r="B71" s="2" t="s">
        <v>29</v>
      </c>
      <c r="C71" s="2" t="s">
        <v>87</v>
      </c>
      <c r="D71" s="2" t="s">
        <v>88</v>
      </c>
      <c r="E71" s="2">
        <v>2021</v>
      </c>
      <c r="F71" s="2" t="s">
        <v>1791</v>
      </c>
      <c r="G71" s="2" t="s">
        <v>1667</v>
      </c>
      <c r="H71" s="2" t="s">
        <v>1669</v>
      </c>
      <c r="I71" s="1" t="s">
        <v>14</v>
      </c>
      <c r="J71" s="1" t="s">
        <v>1880</v>
      </c>
      <c r="L71" s="53">
        <v>0.185</v>
      </c>
      <c r="M71" s="39"/>
      <c r="N71" s="39"/>
      <c r="O71" s="39">
        <f>368.8/2</f>
        <v>184.4</v>
      </c>
      <c r="P71" s="39">
        <f>368.8/2</f>
        <v>184.4</v>
      </c>
      <c r="Q71" s="39"/>
      <c r="R71" s="39"/>
      <c r="S71" s="39"/>
      <c r="T71" s="39"/>
      <c r="U71" s="39"/>
      <c r="V71" s="39"/>
      <c r="W71" s="60" t="s">
        <v>1749</v>
      </c>
    </row>
    <row r="72" spans="1:23" ht="51" x14ac:dyDescent="0.2">
      <c r="A72" s="1" t="s">
        <v>86</v>
      </c>
      <c r="B72" s="2" t="s">
        <v>29</v>
      </c>
      <c r="C72" s="2" t="s">
        <v>87</v>
      </c>
      <c r="D72" s="2" t="s">
        <v>88</v>
      </c>
      <c r="E72" s="2">
        <v>2021</v>
      </c>
      <c r="F72" s="2" t="s">
        <v>311</v>
      </c>
      <c r="G72" s="2" t="s">
        <v>1667</v>
      </c>
      <c r="H72" s="2" t="s">
        <v>1669</v>
      </c>
      <c r="I72" s="1" t="s">
        <v>14</v>
      </c>
      <c r="J72" s="1" t="s">
        <v>1881</v>
      </c>
      <c r="L72" s="53">
        <v>0.186</v>
      </c>
      <c r="M72" s="39"/>
      <c r="N72" s="39"/>
      <c r="O72" s="39">
        <v>287.89999999999998</v>
      </c>
      <c r="P72" s="39"/>
      <c r="Q72" s="39"/>
      <c r="R72" s="39"/>
      <c r="S72" s="39"/>
      <c r="T72" s="39"/>
      <c r="U72" s="39"/>
      <c r="V72" s="39"/>
      <c r="W72" s="60"/>
    </row>
    <row r="73" spans="1:23" ht="51" x14ac:dyDescent="0.2">
      <c r="A73" s="1" t="s">
        <v>86</v>
      </c>
      <c r="B73" s="2" t="s">
        <v>29</v>
      </c>
      <c r="C73" s="2" t="s">
        <v>87</v>
      </c>
      <c r="D73" s="2" t="s">
        <v>88</v>
      </c>
      <c r="E73" s="2">
        <v>2021</v>
      </c>
      <c r="F73" s="2" t="s">
        <v>1794</v>
      </c>
      <c r="G73" s="2" t="s">
        <v>1667</v>
      </c>
      <c r="H73" s="2" t="s">
        <v>1669</v>
      </c>
      <c r="I73" s="1" t="s">
        <v>14</v>
      </c>
      <c r="J73" s="1" t="s">
        <v>1882</v>
      </c>
      <c r="L73" s="53">
        <v>0.17899999999999999</v>
      </c>
      <c r="M73" s="39"/>
      <c r="N73" s="39"/>
      <c r="O73" s="39">
        <v>287.8</v>
      </c>
      <c r="P73" s="39"/>
      <c r="Q73" s="39"/>
      <c r="R73" s="39"/>
      <c r="S73" s="39"/>
      <c r="T73" s="39"/>
      <c r="U73" s="39"/>
      <c r="V73" s="39"/>
      <c r="W73" s="60"/>
    </row>
    <row r="74" spans="1:23" ht="38.25" x14ac:dyDescent="0.2">
      <c r="A74" s="1" t="s">
        <v>86</v>
      </c>
      <c r="B74" s="2" t="s">
        <v>29</v>
      </c>
      <c r="C74" s="2" t="s">
        <v>87</v>
      </c>
      <c r="D74" s="2" t="s">
        <v>88</v>
      </c>
      <c r="E74" s="2">
        <v>2021</v>
      </c>
      <c r="F74" s="2" t="s">
        <v>1796</v>
      </c>
      <c r="G74" s="2" t="s">
        <v>1667</v>
      </c>
      <c r="H74" s="2" t="s">
        <v>1669</v>
      </c>
      <c r="I74" s="1" t="s">
        <v>14</v>
      </c>
      <c r="J74" s="1" t="s">
        <v>1883</v>
      </c>
      <c r="L74" s="53">
        <v>0.17599999999999999</v>
      </c>
      <c r="M74" s="39"/>
      <c r="N74" s="39"/>
      <c r="O74" s="39">
        <f>320.8/2</f>
        <v>160.4</v>
      </c>
      <c r="P74" s="39">
        <f>320.8/2</f>
        <v>160.4</v>
      </c>
      <c r="Q74" s="39"/>
      <c r="R74" s="39"/>
      <c r="S74" s="39"/>
      <c r="T74" s="39"/>
      <c r="U74" s="39"/>
      <c r="V74" s="39"/>
      <c r="W74" s="60" t="s">
        <v>1749</v>
      </c>
    </row>
    <row r="75" spans="1:23" ht="38.25" x14ac:dyDescent="0.2">
      <c r="A75" s="1" t="s">
        <v>86</v>
      </c>
      <c r="B75" s="2" t="s">
        <v>29</v>
      </c>
      <c r="C75" s="2" t="s">
        <v>87</v>
      </c>
      <c r="D75" s="2" t="s">
        <v>88</v>
      </c>
      <c r="E75" s="2">
        <v>2021</v>
      </c>
      <c r="F75" s="2" t="s">
        <v>1798</v>
      </c>
      <c r="G75" s="2" t="s">
        <v>1667</v>
      </c>
      <c r="H75" s="2" t="s">
        <v>1669</v>
      </c>
      <c r="I75" s="1" t="s">
        <v>14</v>
      </c>
      <c r="J75" s="1" t="s">
        <v>1884</v>
      </c>
      <c r="L75" s="53">
        <v>0.19</v>
      </c>
      <c r="M75" s="39"/>
      <c r="N75" s="39"/>
      <c r="O75" s="39">
        <f>344.6/2</f>
        <v>172.3</v>
      </c>
      <c r="P75" s="39">
        <f>344.6/2</f>
        <v>172.3</v>
      </c>
      <c r="Q75" s="39"/>
      <c r="R75" s="39"/>
      <c r="S75" s="39"/>
      <c r="T75" s="39"/>
      <c r="U75" s="39"/>
      <c r="V75" s="39"/>
      <c r="W75" s="60" t="s">
        <v>1749</v>
      </c>
    </row>
    <row r="76" spans="1:23" ht="25.5" x14ac:dyDescent="0.2">
      <c r="A76" s="1" t="s">
        <v>190</v>
      </c>
      <c r="B76" s="2" t="s">
        <v>10</v>
      </c>
      <c r="C76" s="2" t="s">
        <v>191</v>
      </c>
      <c r="D76" s="2" t="s">
        <v>192</v>
      </c>
      <c r="E76" s="2">
        <v>2021</v>
      </c>
      <c r="F76" s="2" t="s">
        <v>1776</v>
      </c>
      <c r="G76" s="2" t="s">
        <v>1667</v>
      </c>
      <c r="H76" s="2" t="s">
        <v>1669</v>
      </c>
      <c r="I76" s="1" t="s">
        <v>14</v>
      </c>
      <c r="J76" s="1" t="s">
        <v>1885</v>
      </c>
      <c r="L76" s="53"/>
      <c r="M76" s="39"/>
      <c r="N76" s="39"/>
      <c r="O76" s="39"/>
      <c r="P76" s="39"/>
      <c r="Q76" s="39"/>
      <c r="R76" s="39"/>
      <c r="S76" s="39"/>
      <c r="T76" s="39"/>
      <c r="U76" s="39"/>
      <c r="V76" s="39"/>
      <c r="W76" s="60" t="s">
        <v>1735</v>
      </c>
    </row>
    <row r="77" spans="1:23" ht="25.5" x14ac:dyDescent="0.2">
      <c r="A77" s="1" t="s">
        <v>190</v>
      </c>
      <c r="B77" s="2" t="s">
        <v>10</v>
      </c>
      <c r="C77" s="2" t="s">
        <v>191</v>
      </c>
      <c r="D77" s="2" t="s">
        <v>192</v>
      </c>
      <c r="E77" s="2">
        <v>2021</v>
      </c>
      <c r="F77" s="2" t="s">
        <v>1779</v>
      </c>
      <c r="G77" s="2" t="s">
        <v>1667</v>
      </c>
      <c r="H77" s="2" t="s">
        <v>1669</v>
      </c>
      <c r="I77" s="1" t="s">
        <v>14</v>
      </c>
      <c r="J77" s="1" t="s">
        <v>1886</v>
      </c>
      <c r="L77" s="53"/>
      <c r="M77" s="39"/>
      <c r="N77" s="39"/>
      <c r="O77" s="39"/>
      <c r="P77" s="39"/>
      <c r="Q77" s="39"/>
      <c r="R77" s="39"/>
      <c r="S77" s="39"/>
      <c r="T77" s="39"/>
      <c r="U77" s="39"/>
      <c r="V77" s="39"/>
      <c r="W77" s="60" t="s">
        <v>1735</v>
      </c>
    </row>
    <row r="78" spans="1:23" ht="25.5" x14ac:dyDescent="0.2">
      <c r="A78" s="1" t="s">
        <v>190</v>
      </c>
      <c r="B78" s="2" t="s">
        <v>10</v>
      </c>
      <c r="C78" s="2" t="s">
        <v>191</v>
      </c>
      <c r="D78" s="2" t="s">
        <v>192</v>
      </c>
      <c r="E78" s="2">
        <v>2021</v>
      </c>
      <c r="F78" s="2" t="s">
        <v>1781</v>
      </c>
      <c r="G78" s="2" t="s">
        <v>1667</v>
      </c>
      <c r="H78" s="2" t="s">
        <v>1669</v>
      </c>
      <c r="I78" s="1" t="s">
        <v>14</v>
      </c>
      <c r="J78" s="1" t="s">
        <v>1887</v>
      </c>
      <c r="L78" s="53"/>
      <c r="M78" s="39"/>
      <c r="N78" s="39"/>
      <c r="O78" s="39"/>
      <c r="P78" s="39"/>
      <c r="Q78" s="39"/>
      <c r="R78" s="39"/>
      <c r="S78" s="39"/>
      <c r="T78" s="39"/>
      <c r="U78" s="39"/>
      <c r="V78" s="39"/>
      <c r="W78" s="60" t="s">
        <v>1735</v>
      </c>
    </row>
    <row r="79" spans="1:23" ht="25.5" x14ac:dyDescent="0.2">
      <c r="A79" s="1" t="s">
        <v>190</v>
      </c>
      <c r="B79" s="2" t="s">
        <v>10</v>
      </c>
      <c r="C79" s="2" t="s">
        <v>191</v>
      </c>
      <c r="D79" s="2" t="s">
        <v>192</v>
      </c>
      <c r="E79" s="2">
        <v>2021</v>
      </c>
      <c r="F79" s="2" t="s">
        <v>1783</v>
      </c>
      <c r="G79" s="2" t="s">
        <v>1667</v>
      </c>
      <c r="H79" s="2" t="s">
        <v>1669</v>
      </c>
      <c r="I79" s="1" t="s">
        <v>14</v>
      </c>
      <c r="J79" s="1" t="s">
        <v>890</v>
      </c>
      <c r="L79" s="53"/>
      <c r="M79" s="39"/>
      <c r="N79" s="39"/>
      <c r="O79" s="39"/>
      <c r="P79" s="39"/>
      <c r="Q79" s="39"/>
      <c r="R79" s="39"/>
      <c r="S79" s="39"/>
      <c r="T79" s="39"/>
      <c r="U79" s="39"/>
      <c r="V79" s="39"/>
      <c r="W79" s="60" t="s">
        <v>1735</v>
      </c>
    </row>
    <row r="80" spans="1:23" ht="25.5" x14ac:dyDescent="0.2">
      <c r="A80" s="1" t="s">
        <v>190</v>
      </c>
      <c r="B80" s="2" t="s">
        <v>10</v>
      </c>
      <c r="C80" s="2" t="s">
        <v>191</v>
      </c>
      <c r="D80" s="2" t="s">
        <v>192</v>
      </c>
      <c r="E80" s="2">
        <v>2021</v>
      </c>
      <c r="F80" s="2" t="s">
        <v>1785</v>
      </c>
      <c r="G80" s="2" t="s">
        <v>1667</v>
      </c>
      <c r="H80" s="2" t="s">
        <v>1669</v>
      </c>
      <c r="I80" s="1" t="s">
        <v>14</v>
      </c>
      <c r="J80" s="1" t="s">
        <v>272</v>
      </c>
      <c r="L80" s="53"/>
      <c r="M80" s="39"/>
      <c r="N80" s="39"/>
      <c r="O80" s="39"/>
      <c r="P80" s="39"/>
      <c r="Q80" s="39"/>
      <c r="R80" s="39"/>
      <c r="S80" s="39"/>
      <c r="T80" s="39"/>
      <c r="U80" s="39"/>
      <c r="V80" s="39"/>
      <c r="W80" s="60" t="s">
        <v>1735</v>
      </c>
    </row>
    <row r="81" spans="1:23" ht="25.5" x14ac:dyDescent="0.2">
      <c r="A81" s="1" t="s">
        <v>190</v>
      </c>
      <c r="B81" s="2" t="s">
        <v>10</v>
      </c>
      <c r="C81" s="2" t="s">
        <v>191</v>
      </c>
      <c r="D81" s="2" t="s">
        <v>192</v>
      </c>
      <c r="E81" s="2">
        <v>2021</v>
      </c>
      <c r="F81" s="2" t="s">
        <v>1787</v>
      </c>
      <c r="G81" s="2" t="s">
        <v>1667</v>
      </c>
      <c r="H81" s="2" t="s">
        <v>1669</v>
      </c>
      <c r="I81" s="1" t="s">
        <v>14</v>
      </c>
      <c r="J81" s="1" t="s">
        <v>1888</v>
      </c>
      <c r="L81" s="53"/>
      <c r="M81" s="39"/>
      <c r="N81" s="39"/>
      <c r="O81" s="39"/>
      <c r="P81" s="39"/>
      <c r="Q81" s="39"/>
      <c r="R81" s="39"/>
      <c r="S81" s="39"/>
      <c r="T81" s="39"/>
      <c r="U81" s="39"/>
      <c r="V81" s="39"/>
      <c r="W81" s="60" t="s">
        <v>1735</v>
      </c>
    </row>
    <row r="82" spans="1:23" ht="25.5" x14ac:dyDescent="0.2">
      <c r="A82" s="1" t="s">
        <v>190</v>
      </c>
      <c r="B82" s="2" t="s">
        <v>10</v>
      </c>
      <c r="C82" s="2" t="s">
        <v>191</v>
      </c>
      <c r="D82" s="2" t="s">
        <v>192</v>
      </c>
      <c r="E82" s="2">
        <v>2021</v>
      </c>
      <c r="F82" s="2" t="s">
        <v>1789</v>
      </c>
      <c r="G82" s="2" t="s">
        <v>1667</v>
      </c>
      <c r="H82" s="2" t="s">
        <v>1669</v>
      </c>
      <c r="I82" s="1" t="s">
        <v>14</v>
      </c>
      <c r="J82" s="1" t="s">
        <v>890</v>
      </c>
      <c r="L82" s="53"/>
      <c r="M82" s="39"/>
      <c r="N82" s="39"/>
      <c r="O82" s="39"/>
      <c r="P82" s="39"/>
      <c r="Q82" s="39"/>
      <c r="R82" s="39"/>
      <c r="S82" s="39"/>
      <c r="T82" s="39"/>
      <c r="U82" s="39"/>
      <c r="V82" s="39"/>
      <c r="W82" s="60" t="s">
        <v>1735</v>
      </c>
    </row>
    <row r="83" spans="1:23" ht="25.5" x14ac:dyDescent="0.2">
      <c r="A83" s="1" t="s">
        <v>190</v>
      </c>
      <c r="B83" s="2" t="s">
        <v>10</v>
      </c>
      <c r="C83" s="2" t="s">
        <v>191</v>
      </c>
      <c r="D83" s="2" t="s">
        <v>192</v>
      </c>
      <c r="E83" s="2">
        <v>2021</v>
      </c>
      <c r="F83" s="2" t="s">
        <v>1791</v>
      </c>
      <c r="G83" s="2" t="s">
        <v>1667</v>
      </c>
      <c r="H83" s="2" t="s">
        <v>1669</v>
      </c>
      <c r="I83" s="1" t="s">
        <v>14</v>
      </c>
      <c r="J83" s="1" t="s">
        <v>890</v>
      </c>
      <c r="L83" s="53"/>
      <c r="M83" s="39"/>
      <c r="N83" s="39"/>
      <c r="O83" s="39"/>
      <c r="P83" s="39"/>
      <c r="Q83" s="39"/>
      <c r="R83" s="39"/>
      <c r="S83" s="39"/>
      <c r="T83" s="39"/>
      <c r="U83" s="39"/>
      <c r="V83" s="39"/>
      <c r="W83" s="60" t="s">
        <v>1735</v>
      </c>
    </row>
    <row r="84" spans="1:23" ht="25.5" x14ac:dyDescent="0.2">
      <c r="A84" s="1" t="s">
        <v>190</v>
      </c>
      <c r="B84" s="2" t="s">
        <v>10</v>
      </c>
      <c r="C84" s="2" t="s">
        <v>191</v>
      </c>
      <c r="D84" s="2" t="s">
        <v>192</v>
      </c>
      <c r="E84" s="2">
        <v>2021</v>
      </c>
      <c r="F84" s="2" t="s">
        <v>311</v>
      </c>
      <c r="G84" s="2" t="s">
        <v>1667</v>
      </c>
      <c r="H84" s="2" t="s">
        <v>1669</v>
      </c>
      <c r="I84" s="1" t="s">
        <v>14</v>
      </c>
      <c r="J84" s="1" t="s">
        <v>1889</v>
      </c>
      <c r="L84" s="53"/>
      <c r="M84" s="39"/>
      <c r="N84" s="39"/>
      <c r="O84" s="39"/>
      <c r="P84" s="39"/>
      <c r="Q84" s="39"/>
      <c r="R84" s="39"/>
      <c r="S84" s="39"/>
      <c r="T84" s="39"/>
      <c r="U84" s="39"/>
      <c r="V84" s="39"/>
      <c r="W84" s="60" t="s">
        <v>1735</v>
      </c>
    </row>
    <row r="85" spans="1:23" ht="25.5" x14ac:dyDescent="0.2">
      <c r="A85" s="1" t="s">
        <v>190</v>
      </c>
      <c r="B85" s="2" t="s">
        <v>10</v>
      </c>
      <c r="C85" s="2" t="s">
        <v>191</v>
      </c>
      <c r="D85" s="2" t="s">
        <v>192</v>
      </c>
      <c r="E85" s="2">
        <v>2021</v>
      </c>
      <c r="F85" s="2" t="s">
        <v>1794</v>
      </c>
      <c r="G85" s="2" t="s">
        <v>1667</v>
      </c>
      <c r="H85" s="2" t="s">
        <v>1669</v>
      </c>
      <c r="I85" s="1" t="s">
        <v>14</v>
      </c>
      <c r="J85" s="1" t="s">
        <v>890</v>
      </c>
      <c r="L85" s="53"/>
      <c r="M85" s="39"/>
      <c r="N85" s="39"/>
      <c r="O85" s="39"/>
      <c r="P85" s="39"/>
      <c r="Q85" s="39"/>
      <c r="R85" s="39"/>
      <c r="S85" s="39"/>
      <c r="T85" s="39"/>
      <c r="U85" s="39"/>
      <c r="V85" s="39"/>
      <c r="W85" s="60" t="s">
        <v>1735</v>
      </c>
    </row>
    <row r="86" spans="1:23" ht="25.5" x14ac:dyDescent="0.2">
      <c r="A86" s="1" t="s">
        <v>190</v>
      </c>
      <c r="B86" s="2" t="s">
        <v>10</v>
      </c>
      <c r="C86" s="2" t="s">
        <v>191</v>
      </c>
      <c r="D86" s="2" t="s">
        <v>192</v>
      </c>
      <c r="E86" s="2">
        <v>2021</v>
      </c>
      <c r="F86" s="2" t="s">
        <v>1796</v>
      </c>
      <c r="G86" s="2" t="s">
        <v>1667</v>
      </c>
      <c r="H86" s="2" t="s">
        <v>1669</v>
      </c>
      <c r="I86" s="1" t="s">
        <v>14</v>
      </c>
      <c r="J86" s="1" t="s">
        <v>890</v>
      </c>
      <c r="L86" s="53"/>
      <c r="M86" s="39"/>
      <c r="N86" s="39"/>
      <c r="O86" s="39"/>
      <c r="P86" s="39"/>
      <c r="Q86" s="39"/>
      <c r="R86" s="39"/>
      <c r="S86" s="39"/>
      <c r="T86" s="39"/>
      <c r="U86" s="39"/>
      <c r="V86" s="39"/>
      <c r="W86" s="60" t="s">
        <v>1735</v>
      </c>
    </row>
    <row r="87" spans="1:23" ht="25.5" x14ac:dyDescent="0.2">
      <c r="A87" s="1" t="s">
        <v>190</v>
      </c>
      <c r="B87" s="2" t="s">
        <v>10</v>
      </c>
      <c r="C87" s="2" t="s">
        <v>191</v>
      </c>
      <c r="D87" s="2" t="s">
        <v>192</v>
      </c>
      <c r="E87" s="2">
        <v>2021</v>
      </c>
      <c r="F87" s="2" t="s">
        <v>1798</v>
      </c>
      <c r="G87" s="2" t="s">
        <v>1667</v>
      </c>
      <c r="H87" s="2" t="s">
        <v>1669</v>
      </c>
      <c r="I87" s="1" t="s">
        <v>14</v>
      </c>
      <c r="J87" s="1" t="s">
        <v>890</v>
      </c>
      <c r="L87" s="53"/>
      <c r="M87" s="39"/>
      <c r="N87" s="39"/>
      <c r="O87" s="39"/>
      <c r="P87" s="39"/>
      <c r="Q87" s="39"/>
      <c r="R87" s="39"/>
      <c r="S87" s="39"/>
      <c r="T87" s="39"/>
      <c r="U87" s="39"/>
      <c r="V87" s="39"/>
      <c r="W87" s="60" t="s">
        <v>1735</v>
      </c>
    </row>
    <row r="88" spans="1:23" ht="38.25" x14ac:dyDescent="0.2">
      <c r="A88" s="1" t="s">
        <v>464</v>
      </c>
      <c r="B88" s="2" t="s">
        <v>196</v>
      </c>
      <c r="C88" s="2" t="s">
        <v>324</v>
      </c>
      <c r="D88" s="2" t="s">
        <v>325</v>
      </c>
      <c r="E88" s="2">
        <v>2021</v>
      </c>
      <c r="F88" s="2" t="s">
        <v>311</v>
      </c>
      <c r="G88" s="2" t="s">
        <v>1669</v>
      </c>
      <c r="H88" s="2" t="s">
        <v>1669</v>
      </c>
      <c r="I88" s="1" t="s">
        <v>1890</v>
      </c>
      <c r="J88" s="1" t="s">
        <v>1891</v>
      </c>
      <c r="L88" s="53">
        <v>0.02</v>
      </c>
      <c r="M88" s="39"/>
      <c r="N88" s="39"/>
      <c r="O88" s="39">
        <v>15775</v>
      </c>
      <c r="P88" s="39"/>
      <c r="Q88" s="39"/>
      <c r="R88" s="39"/>
      <c r="S88" s="39"/>
      <c r="T88" s="39"/>
      <c r="U88" s="39"/>
      <c r="V88" s="39"/>
      <c r="W88" s="60" t="s">
        <v>1699</v>
      </c>
    </row>
    <row r="89" spans="1:23" ht="38.25" x14ac:dyDescent="0.2">
      <c r="A89" s="1" t="s">
        <v>1892</v>
      </c>
      <c r="B89" s="2" t="s">
        <v>196</v>
      </c>
      <c r="C89" s="2" t="s">
        <v>1893</v>
      </c>
      <c r="D89" s="2" t="s">
        <v>305</v>
      </c>
      <c r="E89" s="2">
        <v>2021</v>
      </c>
      <c r="F89" s="2" t="s">
        <v>1789</v>
      </c>
      <c r="G89" s="2" t="s">
        <v>1669</v>
      </c>
      <c r="H89" s="2" t="s">
        <v>1669</v>
      </c>
      <c r="I89" s="1" t="s">
        <v>1894</v>
      </c>
      <c r="J89" s="1" t="s">
        <v>1895</v>
      </c>
      <c r="L89" s="33" t="s">
        <v>1670</v>
      </c>
      <c r="M89" s="15"/>
      <c r="N89" s="15"/>
      <c r="O89" s="15" t="s">
        <v>1670</v>
      </c>
      <c r="P89" s="15"/>
      <c r="Q89" s="15"/>
      <c r="R89" s="15"/>
      <c r="S89" s="15"/>
      <c r="T89" s="15"/>
      <c r="U89" s="15"/>
      <c r="V89" s="15"/>
      <c r="W89" s="60" t="s">
        <v>1896</v>
      </c>
    </row>
    <row r="90" spans="1:23" ht="38.25" x14ac:dyDescent="0.2">
      <c r="A90" s="1" t="s">
        <v>1892</v>
      </c>
      <c r="B90" s="2" t="s">
        <v>196</v>
      </c>
      <c r="C90" s="2" t="s">
        <v>1893</v>
      </c>
      <c r="D90" s="2" t="s">
        <v>305</v>
      </c>
      <c r="E90" s="2">
        <v>2021</v>
      </c>
      <c r="F90" s="2" t="s">
        <v>311</v>
      </c>
      <c r="G90" s="2" t="s">
        <v>1669</v>
      </c>
      <c r="H90" s="2" t="s">
        <v>1669</v>
      </c>
      <c r="I90" s="1" t="s">
        <v>1897</v>
      </c>
      <c r="J90" s="1" t="s">
        <v>1898</v>
      </c>
      <c r="L90" s="53" t="s">
        <v>1670</v>
      </c>
      <c r="M90" s="39"/>
      <c r="N90" s="39"/>
      <c r="O90" s="39" t="s">
        <v>1670</v>
      </c>
      <c r="P90" s="39"/>
      <c r="Q90" s="39"/>
      <c r="R90" s="39"/>
      <c r="S90" s="39"/>
      <c r="T90" s="39"/>
      <c r="U90" s="39"/>
      <c r="V90" s="39"/>
      <c r="W90" s="60" t="s">
        <v>1896</v>
      </c>
    </row>
    <row r="91" spans="1:23" ht="38.25" x14ac:dyDescent="0.2">
      <c r="A91" s="1" t="s">
        <v>382</v>
      </c>
      <c r="B91" s="2" t="s">
        <v>383</v>
      </c>
      <c r="C91" s="2" t="s">
        <v>384</v>
      </c>
      <c r="D91" s="2" t="s">
        <v>115</v>
      </c>
      <c r="E91" s="2">
        <v>2021</v>
      </c>
      <c r="F91" s="2" t="s">
        <v>1787</v>
      </c>
      <c r="G91" s="2" t="s">
        <v>1668</v>
      </c>
      <c r="H91" s="2" t="s">
        <v>1669</v>
      </c>
      <c r="I91" s="1" t="s">
        <v>14</v>
      </c>
      <c r="J91" s="1" t="s">
        <v>1899</v>
      </c>
      <c r="L91" s="53">
        <v>0.1943</v>
      </c>
      <c r="M91" s="39"/>
      <c r="N91" s="39"/>
      <c r="O91" s="39">
        <v>49.79</v>
      </c>
      <c r="P91" s="39"/>
      <c r="Q91" s="39"/>
      <c r="R91" s="39"/>
      <c r="S91" s="39"/>
      <c r="T91" s="39"/>
      <c r="U91" s="39"/>
      <c r="V91" s="39"/>
      <c r="W91" s="60" t="s">
        <v>1743</v>
      </c>
    </row>
    <row r="92" spans="1:23" ht="76.5" x14ac:dyDescent="0.2">
      <c r="A92" s="1" t="s">
        <v>382</v>
      </c>
      <c r="B92" s="2" t="s">
        <v>383</v>
      </c>
      <c r="C92" s="2" t="s">
        <v>384</v>
      </c>
      <c r="D92" s="2" t="s">
        <v>115</v>
      </c>
      <c r="E92" s="2">
        <v>2021</v>
      </c>
      <c r="F92" s="2" t="s">
        <v>1789</v>
      </c>
      <c r="G92" s="2" t="s">
        <v>1669</v>
      </c>
      <c r="H92" s="2" t="s">
        <v>1668</v>
      </c>
      <c r="I92" s="1" t="s">
        <v>1900</v>
      </c>
      <c r="J92" s="1" t="s">
        <v>14</v>
      </c>
      <c r="L92" s="53"/>
      <c r="M92" s="39"/>
      <c r="N92" s="39"/>
      <c r="O92" s="39"/>
      <c r="P92" s="39"/>
      <c r="Q92" s="39"/>
      <c r="R92" s="39"/>
      <c r="S92" s="39"/>
      <c r="T92" s="39"/>
      <c r="U92" s="39"/>
      <c r="V92" s="39"/>
      <c r="W92" s="60" t="s">
        <v>1693</v>
      </c>
    </row>
    <row r="93" spans="1:23" ht="25.5" x14ac:dyDescent="0.2">
      <c r="A93" s="1" t="s">
        <v>397</v>
      </c>
      <c r="B93" s="2" t="s">
        <v>10</v>
      </c>
      <c r="C93" s="2" t="s">
        <v>398</v>
      </c>
      <c r="D93" s="2" t="s">
        <v>399</v>
      </c>
      <c r="E93" s="2">
        <v>2021</v>
      </c>
      <c r="F93" s="2" t="s">
        <v>1783</v>
      </c>
      <c r="G93" s="2" t="s">
        <v>1667</v>
      </c>
      <c r="H93" s="2" t="s">
        <v>1669</v>
      </c>
      <c r="I93" s="1" t="s">
        <v>14</v>
      </c>
      <c r="J93" s="1" t="s">
        <v>1901</v>
      </c>
      <c r="L93" s="53"/>
      <c r="M93" s="39"/>
      <c r="N93" s="39"/>
      <c r="O93" s="39"/>
      <c r="P93" s="39"/>
      <c r="Q93" s="39"/>
      <c r="R93" s="39"/>
      <c r="S93" s="39"/>
      <c r="T93" s="39"/>
      <c r="U93" s="39"/>
      <c r="V93" s="39"/>
      <c r="W93" s="60" t="s">
        <v>1735</v>
      </c>
    </row>
    <row r="94" spans="1:23" ht="51" x14ac:dyDescent="0.2">
      <c r="A94" s="1" t="s">
        <v>1902</v>
      </c>
      <c r="B94" s="2" t="s">
        <v>53</v>
      </c>
      <c r="C94" s="2" t="s">
        <v>1903</v>
      </c>
      <c r="D94" s="2" t="s">
        <v>239</v>
      </c>
      <c r="E94" s="2">
        <v>2021</v>
      </c>
      <c r="F94" s="2" t="s">
        <v>1798</v>
      </c>
      <c r="G94" s="2" t="s">
        <v>1667</v>
      </c>
      <c r="H94" s="2" t="s">
        <v>1669</v>
      </c>
      <c r="I94" s="1" t="s">
        <v>14</v>
      </c>
      <c r="J94" s="1" t="s">
        <v>1904</v>
      </c>
      <c r="L94" s="53">
        <v>5.5E-2</v>
      </c>
      <c r="M94" s="39"/>
      <c r="N94" s="39"/>
      <c r="O94" s="39"/>
      <c r="P94" s="39"/>
      <c r="Q94" s="39"/>
      <c r="R94" s="39"/>
      <c r="S94" s="39"/>
      <c r="T94" s="39"/>
      <c r="U94" s="39"/>
      <c r="V94" s="39">
        <v>128.84</v>
      </c>
      <c r="W94" s="60" t="s">
        <v>1699</v>
      </c>
    </row>
    <row r="95" spans="1:23" ht="25.5" x14ac:dyDescent="0.2">
      <c r="A95" s="1" t="s">
        <v>144</v>
      </c>
      <c r="B95" s="2" t="s">
        <v>38</v>
      </c>
      <c r="C95" s="2" t="s">
        <v>145</v>
      </c>
      <c r="D95" s="2" t="s">
        <v>146</v>
      </c>
      <c r="E95" s="2">
        <v>2021</v>
      </c>
      <c r="F95" s="2" t="s">
        <v>1776</v>
      </c>
      <c r="G95" s="2" t="s">
        <v>1667</v>
      </c>
      <c r="H95" s="2" t="s">
        <v>1669</v>
      </c>
      <c r="I95" s="1" t="s">
        <v>14</v>
      </c>
      <c r="J95" s="1" t="s">
        <v>1905</v>
      </c>
      <c r="L95" s="53">
        <v>0.18529999999999999</v>
      </c>
      <c r="M95" s="39"/>
      <c r="N95" s="39"/>
      <c r="O95" s="39"/>
      <c r="P95" s="39">
        <v>101.2</v>
      </c>
      <c r="Q95" s="39"/>
      <c r="R95" s="39"/>
      <c r="S95" s="39"/>
      <c r="T95" s="39"/>
      <c r="U95" s="39"/>
      <c r="V95" s="39"/>
      <c r="W95" s="60"/>
    </row>
    <row r="96" spans="1:23" ht="25.5" x14ac:dyDescent="0.2">
      <c r="A96" s="1" t="s">
        <v>144</v>
      </c>
      <c r="B96" s="2" t="s">
        <v>38</v>
      </c>
      <c r="C96" s="2" t="s">
        <v>145</v>
      </c>
      <c r="D96" s="2" t="s">
        <v>146</v>
      </c>
      <c r="E96" s="2">
        <v>2021</v>
      </c>
      <c r="F96" s="2" t="s">
        <v>1779</v>
      </c>
      <c r="G96" s="2" t="s">
        <v>1667</v>
      </c>
      <c r="H96" s="2" t="s">
        <v>1669</v>
      </c>
      <c r="I96" s="1" t="s">
        <v>14</v>
      </c>
      <c r="J96" s="1" t="s">
        <v>1906</v>
      </c>
      <c r="L96" s="53">
        <v>0.186</v>
      </c>
      <c r="M96" s="39"/>
      <c r="N96" s="39"/>
      <c r="O96" s="39"/>
      <c r="P96" s="39">
        <v>110.4</v>
      </c>
      <c r="Q96" s="39"/>
      <c r="R96" s="39"/>
      <c r="S96" s="39"/>
      <c r="T96" s="39"/>
      <c r="U96" s="39"/>
      <c r="V96" s="39"/>
      <c r="W96" s="60"/>
    </row>
    <row r="97" spans="1:23" ht="25.5" x14ac:dyDescent="0.2">
      <c r="A97" s="1" t="s">
        <v>144</v>
      </c>
      <c r="B97" s="2" t="s">
        <v>38</v>
      </c>
      <c r="C97" s="2" t="s">
        <v>145</v>
      </c>
      <c r="D97" s="2" t="s">
        <v>146</v>
      </c>
      <c r="E97" s="2">
        <v>2021</v>
      </c>
      <c r="F97" s="2" t="s">
        <v>1781</v>
      </c>
      <c r="G97" s="2" t="s">
        <v>1667</v>
      </c>
      <c r="H97" s="2" t="s">
        <v>1669</v>
      </c>
      <c r="I97" s="1" t="s">
        <v>14</v>
      </c>
      <c r="J97" s="1" t="s">
        <v>1907</v>
      </c>
      <c r="L97" s="53">
        <v>0.1988</v>
      </c>
      <c r="M97" s="39"/>
      <c r="N97" s="39"/>
      <c r="O97" s="39"/>
      <c r="P97" s="39">
        <v>138</v>
      </c>
      <c r="Q97" s="39"/>
      <c r="R97" s="39"/>
      <c r="S97" s="39"/>
      <c r="T97" s="39"/>
      <c r="U97" s="39"/>
      <c r="V97" s="39"/>
      <c r="W97" s="60"/>
    </row>
    <row r="98" spans="1:23" ht="25.5" x14ac:dyDescent="0.2">
      <c r="A98" s="1" t="s">
        <v>144</v>
      </c>
      <c r="B98" s="2" t="s">
        <v>38</v>
      </c>
      <c r="C98" s="2" t="s">
        <v>145</v>
      </c>
      <c r="D98" s="2" t="s">
        <v>146</v>
      </c>
      <c r="E98" s="2">
        <v>2021</v>
      </c>
      <c r="F98" s="2" t="s">
        <v>1783</v>
      </c>
      <c r="G98" s="2" t="s">
        <v>1667</v>
      </c>
      <c r="H98" s="2" t="s">
        <v>1669</v>
      </c>
      <c r="I98" s="1" t="s">
        <v>14</v>
      </c>
      <c r="J98" s="1" t="s">
        <v>1908</v>
      </c>
      <c r="L98" s="53">
        <v>0.2195</v>
      </c>
      <c r="M98" s="39"/>
      <c r="N98" s="39"/>
      <c r="O98" s="39"/>
      <c r="P98" s="39">
        <v>110.4</v>
      </c>
      <c r="Q98" s="39"/>
      <c r="R98" s="39"/>
      <c r="S98" s="39"/>
      <c r="T98" s="39"/>
      <c r="U98" s="39"/>
      <c r="V98" s="39"/>
      <c r="W98" s="60"/>
    </row>
    <row r="99" spans="1:23" ht="25.5" x14ac:dyDescent="0.2">
      <c r="A99" s="1" t="s">
        <v>144</v>
      </c>
      <c r="B99" s="2" t="s">
        <v>38</v>
      </c>
      <c r="C99" s="2" t="s">
        <v>145</v>
      </c>
      <c r="D99" s="2" t="s">
        <v>146</v>
      </c>
      <c r="E99" s="2">
        <v>2021</v>
      </c>
      <c r="F99" s="2" t="s">
        <v>1785</v>
      </c>
      <c r="G99" s="2" t="s">
        <v>1667</v>
      </c>
      <c r="H99" s="2" t="s">
        <v>1669</v>
      </c>
      <c r="I99" s="1" t="s">
        <v>14</v>
      </c>
      <c r="J99" s="1" t="s">
        <v>1909</v>
      </c>
      <c r="L99" s="53">
        <v>0.22189999999999999</v>
      </c>
      <c r="M99" s="39"/>
      <c r="N99" s="39"/>
      <c r="O99" s="39"/>
      <c r="P99" s="39">
        <v>209.6</v>
      </c>
      <c r="Q99" s="39"/>
      <c r="R99" s="39"/>
      <c r="S99" s="39"/>
      <c r="T99" s="39"/>
      <c r="U99" s="39"/>
      <c r="V99" s="39"/>
      <c r="W99" s="60"/>
    </row>
    <row r="100" spans="1:23" ht="25.5" x14ac:dyDescent="0.2">
      <c r="A100" s="1" t="s">
        <v>144</v>
      </c>
      <c r="B100" s="2" t="s">
        <v>38</v>
      </c>
      <c r="C100" s="2" t="s">
        <v>145</v>
      </c>
      <c r="D100" s="2" t="s">
        <v>146</v>
      </c>
      <c r="E100" s="2">
        <v>2021</v>
      </c>
      <c r="F100" s="2" t="s">
        <v>1787</v>
      </c>
      <c r="G100" s="2" t="s">
        <v>1667</v>
      </c>
      <c r="H100" s="2" t="s">
        <v>1669</v>
      </c>
      <c r="I100" s="1" t="s">
        <v>14</v>
      </c>
      <c r="J100" s="1" t="s">
        <v>1910</v>
      </c>
      <c r="L100" s="53">
        <v>0.23119999999999999</v>
      </c>
      <c r="M100" s="39"/>
      <c r="N100" s="39"/>
      <c r="O100" s="39"/>
      <c r="P100" s="39">
        <v>202.4</v>
      </c>
      <c r="Q100" s="39"/>
      <c r="R100" s="39"/>
      <c r="S100" s="39"/>
      <c r="T100" s="39"/>
      <c r="U100" s="39"/>
      <c r="V100" s="39"/>
      <c r="W100" s="60"/>
    </row>
    <row r="101" spans="1:23" ht="25.5" x14ac:dyDescent="0.2">
      <c r="A101" s="1" t="s">
        <v>144</v>
      </c>
      <c r="B101" s="2" t="s">
        <v>38</v>
      </c>
      <c r="C101" s="2" t="s">
        <v>145</v>
      </c>
      <c r="D101" s="2" t="s">
        <v>146</v>
      </c>
      <c r="E101" s="2">
        <v>2021</v>
      </c>
      <c r="F101" s="2" t="s">
        <v>1789</v>
      </c>
      <c r="G101" s="2" t="s">
        <v>1667</v>
      </c>
      <c r="H101" s="2" t="s">
        <v>1669</v>
      </c>
      <c r="I101" s="1" t="s">
        <v>14</v>
      </c>
      <c r="J101" s="1" t="s">
        <v>1911</v>
      </c>
      <c r="L101" s="53">
        <v>0.25650000000000001</v>
      </c>
      <c r="M101" s="39"/>
      <c r="N101" s="39"/>
      <c r="O101" s="39"/>
      <c r="P101" s="39">
        <v>210.6</v>
      </c>
      <c r="Q101" s="39"/>
      <c r="R101" s="39"/>
      <c r="S101" s="39"/>
      <c r="T101" s="39"/>
      <c r="U101" s="39"/>
      <c r="V101" s="39"/>
      <c r="W101" s="60"/>
    </row>
    <row r="102" spans="1:23" ht="25.5" x14ac:dyDescent="0.2">
      <c r="A102" s="1" t="s">
        <v>144</v>
      </c>
      <c r="B102" s="2" t="s">
        <v>38</v>
      </c>
      <c r="C102" s="2" t="s">
        <v>145</v>
      </c>
      <c r="D102" s="2" t="s">
        <v>146</v>
      </c>
      <c r="E102" s="2">
        <v>2021</v>
      </c>
      <c r="F102" s="2" t="s">
        <v>1791</v>
      </c>
      <c r="G102" s="2" t="s">
        <v>1667</v>
      </c>
      <c r="H102" s="2" t="s">
        <v>1669</v>
      </c>
      <c r="I102" s="1" t="s">
        <v>14</v>
      </c>
      <c r="J102" s="1" t="s">
        <v>1912</v>
      </c>
      <c r="L102" s="53">
        <v>0.25950000000000001</v>
      </c>
      <c r="M102" s="39"/>
      <c r="N102" s="39"/>
      <c r="O102" s="39"/>
      <c r="P102" s="39">
        <v>174.8</v>
      </c>
      <c r="Q102" s="39"/>
      <c r="R102" s="39"/>
      <c r="S102" s="39"/>
      <c r="T102" s="39"/>
      <c r="U102" s="39"/>
      <c r="V102" s="39"/>
      <c r="W102" s="60"/>
    </row>
    <row r="103" spans="1:23" ht="25.5" x14ac:dyDescent="0.2">
      <c r="A103" s="1" t="s">
        <v>144</v>
      </c>
      <c r="B103" s="2" t="s">
        <v>38</v>
      </c>
      <c r="C103" s="2" t="s">
        <v>145</v>
      </c>
      <c r="D103" s="2" t="s">
        <v>146</v>
      </c>
      <c r="E103" s="2">
        <v>2021</v>
      </c>
      <c r="F103" s="2" t="s">
        <v>311</v>
      </c>
      <c r="G103" s="2" t="s">
        <v>1667</v>
      </c>
      <c r="H103" s="2" t="s">
        <v>1669</v>
      </c>
      <c r="I103" s="1" t="s">
        <v>14</v>
      </c>
      <c r="J103" s="1" t="s">
        <v>1913</v>
      </c>
      <c r="L103" s="53">
        <v>0.23100000000000001</v>
      </c>
      <c r="M103" s="39"/>
      <c r="N103" s="39"/>
      <c r="O103" s="39"/>
      <c r="P103" s="39">
        <v>156.4</v>
      </c>
      <c r="Q103" s="39"/>
      <c r="R103" s="39"/>
      <c r="S103" s="39"/>
      <c r="T103" s="39"/>
      <c r="U103" s="39"/>
      <c r="V103" s="39"/>
      <c r="W103" s="60"/>
    </row>
    <row r="104" spans="1:23" ht="25.5" x14ac:dyDescent="0.2">
      <c r="A104" s="1" t="s">
        <v>144</v>
      </c>
      <c r="B104" s="2" t="s">
        <v>38</v>
      </c>
      <c r="C104" s="2" t="s">
        <v>145</v>
      </c>
      <c r="D104" s="2" t="s">
        <v>146</v>
      </c>
      <c r="E104" s="2">
        <v>2021</v>
      </c>
      <c r="F104" s="2" t="s">
        <v>1794</v>
      </c>
      <c r="G104" s="2" t="s">
        <v>1667</v>
      </c>
      <c r="H104" s="2" t="s">
        <v>1669</v>
      </c>
      <c r="I104" s="1" t="s">
        <v>14</v>
      </c>
      <c r="J104" s="1" t="s">
        <v>1914</v>
      </c>
      <c r="L104" s="53">
        <v>0.27050000000000002</v>
      </c>
      <c r="M104" s="39"/>
      <c r="N104" s="39"/>
      <c r="O104" s="39"/>
      <c r="P104" s="39">
        <v>150.4</v>
      </c>
      <c r="Q104" s="39"/>
      <c r="R104" s="39"/>
      <c r="S104" s="39"/>
      <c r="T104" s="39"/>
      <c r="U104" s="39"/>
      <c r="V104" s="39"/>
      <c r="W104" s="60"/>
    </row>
    <row r="105" spans="1:23" ht="25.5" x14ac:dyDescent="0.2">
      <c r="A105" s="1" t="s">
        <v>144</v>
      </c>
      <c r="B105" s="2" t="s">
        <v>38</v>
      </c>
      <c r="C105" s="2" t="s">
        <v>145</v>
      </c>
      <c r="D105" s="2" t="s">
        <v>146</v>
      </c>
      <c r="E105" s="2">
        <v>2021</v>
      </c>
      <c r="F105" s="2" t="s">
        <v>1796</v>
      </c>
      <c r="G105" s="2" t="s">
        <v>1667</v>
      </c>
      <c r="H105" s="2" t="s">
        <v>1669</v>
      </c>
      <c r="I105" s="1" t="s">
        <v>14</v>
      </c>
      <c r="J105" s="1" t="s">
        <v>1915</v>
      </c>
      <c r="L105" s="53">
        <v>0.18870000000000001</v>
      </c>
      <c r="M105" s="39"/>
      <c r="N105" s="39"/>
      <c r="O105" s="39"/>
      <c r="P105" s="39">
        <v>148.1</v>
      </c>
      <c r="Q105" s="39"/>
      <c r="R105" s="39"/>
      <c r="S105" s="39"/>
      <c r="T105" s="39"/>
      <c r="U105" s="39"/>
      <c r="V105" s="39"/>
      <c r="W105" s="60"/>
    </row>
    <row r="106" spans="1:23" ht="25.5" x14ac:dyDescent="0.2">
      <c r="A106" s="1" t="s">
        <v>144</v>
      </c>
      <c r="B106" s="2" t="s">
        <v>38</v>
      </c>
      <c r="C106" s="2" t="s">
        <v>145</v>
      </c>
      <c r="D106" s="2" t="s">
        <v>146</v>
      </c>
      <c r="E106" s="2">
        <v>2021</v>
      </c>
      <c r="F106" s="2" t="s">
        <v>1798</v>
      </c>
      <c r="G106" s="2" t="s">
        <v>1667</v>
      </c>
      <c r="H106" s="2" t="s">
        <v>1669</v>
      </c>
      <c r="I106" s="1" t="s">
        <v>14</v>
      </c>
      <c r="J106" s="1" t="s">
        <v>1916</v>
      </c>
      <c r="L106" s="53">
        <v>0.1976</v>
      </c>
      <c r="M106" s="39"/>
      <c r="N106" s="39"/>
      <c r="O106" s="39"/>
      <c r="P106" s="39">
        <v>110.4</v>
      </c>
      <c r="Q106" s="39"/>
      <c r="R106" s="39"/>
      <c r="S106" s="39"/>
      <c r="T106" s="39"/>
      <c r="U106" s="39"/>
      <c r="V106" s="39"/>
      <c r="W106" s="60"/>
    </row>
    <row r="107" spans="1:23" ht="51" x14ac:dyDescent="0.2">
      <c r="A107" s="1" t="s">
        <v>1917</v>
      </c>
      <c r="B107" s="2" t="s">
        <v>32</v>
      </c>
      <c r="C107" s="2" t="s">
        <v>1918</v>
      </c>
      <c r="D107" s="2" t="s">
        <v>246</v>
      </c>
      <c r="E107" s="2">
        <v>2021</v>
      </c>
      <c r="F107" s="2" t="s">
        <v>1785</v>
      </c>
      <c r="G107" s="2" t="s">
        <v>1667</v>
      </c>
      <c r="H107" s="2" t="s">
        <v>1669</v>
      </c>
      <c r="I107" s="1" t="s">
        <v>14</v>
      </c>
      <c r="J107" s="1" t="s">
        <v>1919</v>
      </c>
      <c r="L107" s="53" t="s">
        <v>1670</v>
      </c>
      <c r="M107" s="39"/>
      <c r="N107" s="39"/>
      <c r="O107" s="39"/>
      <c r="P107" s="39"/>
      <c r="Q107" s="39"/>
      <c r="R107" s="39"/>
      <c r="S107" s="39"/>
      <c r="T107" s="39"/>
      <c r="U107" s="39"/>
      <c r="V107" s="39">
        <v>113</v>
      </c>
      <c r="W107" s="60"/>
    </row>
    <row r="108" spans="1:23" ht="38.25" x14ac:dyDescent="0.2">
      <c r="A108" s="1" t="s">
        <v>178</v>
      </c>
      <c r="B108" s="2" t="s">
        <v>38</v>
      </c>
      <c r="C108" s="2" t="s">
        <v>179</v>
      </c>
      <c r="D108" s="2" t="s">
        <v>173</v>
      </c>
      <c r="E108" s="2">
        <v>2021</v>
      </c>
      <c r="F108" s="2" t="s">
        <v>1776</v>
      </c>
      <c r="G108" s="2" t="s">
        <v>1667</v>
      </c>
      <c r="H108" s="2" t="s">
        <v>1669</v>
      </c>
      <c r="I108" s="1" t="s">
        <v>14</v>
      </c>
      <c r="J108" s="1" t="s">
        <v>1920</v>
      </c>
      <c r="L108" s="53"/>
      <c r="M108" s="39"/>
      <c r="N108" s="39"/>
      <c r="O108" s="39"/>
      <c r="P108" s="39"/>
      <c r="Q108" s="39"/>
      <c r="R108" s="39"/>
      <c r="S108" s="39"/>
      <c r="T108" s="39"/>
      <c r="U108" s="39"/>
      <c r="V108" s="39"/>
      <c r="W108" s="60" t="s">
        <v>3075</v>
      </c>
    </row>
    <row r="109" spans="1:23" ht="51" x14ac:dyDescent="0.2">
      <c r="A109" s="1" t="s">
        <v>178</v>
      </c>
      <c r="B109" s="2" t="s">
        <v>38</v>
      </c>
      <c r="C109" s="2" t="s">
        <v>179</v>
      </c>
      <c r="D109" s="2" t="s">
        <v>173</v>
      </c>
      <c r="E109" s="2">
        <v>2021</v>
      </c>
      <c r="F109" s="2" t="s">
        <v>1779</v>
      </c>
      <c r="G109" s="2" t="s">
        <v>1667</v>
      </c>
      <c r="H109" s="2" t="s">
        <v>1669</v>
      </c>
      <c r="I109" s="1" t="s">
        <v>14</v>
      </c>
      <c r="J109" s="1" t="s">
        <v>1921</v>
      </c>
      <c r="L109" s="53"/>
      <c r="M109" s="39"/>
      <c r="N109" s="39"/>
      <c r="O109" s="39"/>
      <c r="P109" s="39"/>
      <c r="Q109" s="39"/>
      <c r="R109" s="39"/>
      <c r="S109" s="39"/>
      <c r="T109" s="39"/>
      <c r="U109" s="39"/>
      <c r="V109" s="39"/>
      <c r="W109" s="60" t="s">
        <v>3075</v>
      </c>
    </row>
    <row r="110" spans="1:23" ht="89.25" x14ac:dyDescent="0.2">
      <c r="A110" s="1" t="s">
        <v>178</v>
      </c>
      <c r="B110" s="2" t="s">
        <v>38</v>
      </c>
      <c r="C110" s="2" t="s">
        <v>179</v>
      </c>
      <c r="D110" s="2" t="s">
        <v>173</v>
      </c>
      <c r="E110" s="2">
        <v>2021</v>
      </c>
      <c r="F110" s="2" t="s">
        <v>1781</v>
      </c>
      <c r="G110" s="2" t="s">
        <v>1667</v>
      </c>
      <c r="H110" s="2" t="s">
        <v>1669</v>
      </c>
      <c r="I110" s="1" t="s">
        <v>14</v>
      </c>
      <c r="J110" s="1" t="s">
        <v>1922</v>
      </c>
      <c r="L110" s="53"/>
      <c r="M110" s="39"/>
      <c r="N110" s="39"/>
      <c r="O110" s="39"/>
      <c r="P110" s="39"/>
      <c r="Q110" s="39"/>
      <c r="R110" s="39"/>
      <c r="S110" s="39"/>
      <c r="T110" s="39"/>
      <c r="U110" s="39"/>
      <c r="V110" s="39"/>
      <c r="W110" s="60" t="s">
        <v>3075</v>
      </c>
    </row>
    <row r="111" spans="1:23" ht="102" x14ac:dyDescent="0.2">
      <c r="A111" s="1" t="s">
        <v>178</v>
      </c>
      <c r="B111" s="2" t="s">
        <v>38</v>
      </c>
      <c r="C111" s="2" t="s">
        <v>179</v>
      </c>
      <c r="D111" s="2" t="s">
        <v>173</v>
      </c>
      <c r="E111" s="2">
        <v>2021</v>
      </c>
      <c r="F111" s="2" t="s">
        <v>1783</v>
      </c>
      <c r="G111" s="2" t="s">
        <v>1667</v>
      </c>
      <c r="H111" s="2" t="s">
        <v>1669</v>
      </c>
      <c r="I111" s="1" t="s">
        <v>14</v>
      </c>
      <c r="J111" s="1" t="s">
        <v>1923</v>
      </c>
      <c r="L111" s="53"/>
      <c r="M111" s="39"/>
      <c r="N111" s="39"/>
      <c r="O111" s="39"/>
      <c r="P111" s="39"/>
      <c r="Q111" s="39"/>
      <c r="R111" s="39"/>
      <c r="S111" s="39"/>
      <c r="T111" s="39"/>
      <c r="U111" s="39"/>
      <c r="V111" s="39"/>
      <c r="W111" s="60" t="s">
        <v>3075</v>
      </c>
    </row>
    <row r="112" spans="1:23" ht="102" x14ac:dyDescent="0.2">
      <c r="A112" s="1" t="s">
        <v>178</v>
      </c>
      <c r="B112" s="2" t="s">
        <v>38</v>
      </c>
      <c r="C112" s="2" t="s">
        <v>179</v>
      </c>
      <c r="D112" s="2" t="s">
        <v>173</v>
      </c>
      <c r="E112" s="2">
        <v>2021</v>
      </c>
      <c r="F112" s="2" t="s">
        <v>1785</v>
      </c>
      <c r="G112" s="2" t="s">
        <v>1667</v>
      </c>
      <c r="H112" s="2" t="s">
        <v>1669</v>
      </c>
      <c r="I112" s="1" t="s">
        <v>14</v>
      </c>
      <c r="J112" s="1" t="s">
        <v>1924</v>
      </c>
      <c r="L112" s="53"/>
      <c r="M112" s="39"/>
      <c r="N112" s="39"/>
      <c r="O112" s="39"/>
      <c r="P112" s="39"/>
      <c r="Q112" s="39"/>
      <c r="R112" s="39"/>
      <c r="S112" s="39"/>
      <c r="T112" s="39"/>
      <c r="U112" s="39"/>
      <c r="V112" s="39"/>
      <c r="W112" s="60" t="s">
        <v>3075</v>
      </c>
    </row>
    <row r="113" spans="1:23" ht="76.5" x14ac:dyDescent="0.2">
      <c r="A113" s="1" t="s">
        <v>178</v>
      </c>
      <c r="B113" s="2" t="s">
        <v>38</v>
      </c>
      <c r="C113" s="2" t="s">
        <v>179</v>
      </c>
      <c r="D113" s="2" t="s">
        <v>173</v>
      </c>
      <c r="E113" s="2">
        <v>2021</v>
      </c>
      <c r="F113" s="2" t="s">
        <v>1787</v>
      </c>
      <c r="G113" s="2" t="s">
        <v>1667</v>
      </c>
      <c r="H113" s="2" t="s">
        <v>1669</v>
      </c>
      <c r="I113" s="1" t="s">
        <v>14</v>
      </c>
      <c r="J113" s="1" t="s">
        <v>1925</v>
      </c>
      <c r="L113" s="53"/>
      <c r="M113" s="39"/>
      <c r="N113" s="39"/>
      <c r="O113" s="39"/>
      <c r="P113" s="39"/>
      <c r="Q113" s="39"/>
      <c r="R113" s="39"/>
      <c r="S113" s="39"/>
      <c r="T113" s="39"/>
      <c r="U113" s="39"/>
      <c r="V113" s="39"/>
      <c r="W113" s="60" t="s">
        <v>3075</v>
      </c>
    </row>
    <row r="114" spans="1:23" ht="114.75" x14ac:dyDescent="0.2">
      <c r="A114" s="1" t="s">
        <v>178</v>
      </c>
      <c r="B114" s="2" t="s">
        <v>38</v>
      </c>
      <c r="C114" s="2" t="s">
        <v>179</v>
      </c>
      <c r="D114" s="2" t="s">
        <v>173</v>
      </c>
      <c r="E114" s="2">
        <v>2021</v>
      </c>
      <c r="F114" s="2" t="s">
        <v>1789</v>
      </c>
      <c r="G114" s="2" t="s">
        <v>1667</v>
      </c>
      <c r="H114" s="2" t="s">
        <v>1669</v>
      </c>
      <c r="I114" s="1" t="s">
        <v>14</v>
      </c>
      <c r="J114" s="1" t="s">
        <v>1926</v>
      </c>
      <c r="L114" s="53"/>
      <c r="M114" s="39"/>
      <c r="N114" s="39"/>
      <c r="O114" s="39"/>
      <c r="P114" s="39"/>
      <c r="Q114" s="39"/>
      <c r="R114" s="39"/>
      <c r="S114" s="39"/>
      <c r="T114" s="39"/>
      <c r="U114" s="39"/>
      <c r="V114" s="39"/>
      <c r="W114" s="60" t="s">
        <v>3075</v>
      </c>
    </row>
    <row r="115" spans="1:23" ht="102" x14ac:dyDescent="0.2">
      <c r="A115" s="1" t="s">
        <v>178</v>
      </c>
      <c r="B115" s="2" t="s">
        <v>38</v>
      </c>
      <c r="C115" s="2" t="s">
        <v>179</v>
      </c>
      <c r="D115" s="2" t="s">
        <v>173</v>
      </c>
      <c r="E115" s="2">
        <v>2021</v>
      </c>
      <c r="F115" s="2" t="s">
        <v>1791</v>
      </c>
      <c r="G115" s="2" t="s">
        <v>1667</v>
      </c>
      <c r="H115" s="2" t="s">
        <v>1669</v>
      </c>
      <c r="I115" s="1" t="s">
        <v>14</v>
      </c>
      <c r="J115" s="1" t="s">
        <v>1927</v>
      </c>
      <c r="L115" s="53"/>
      <c r="M115" s="39"/>
      <c r="N115" s="39"/>
      <c r="O115" s="39"/>
      <c r="P115" s="39"/>
      <c r="Q115" s="39"/>
      <c r="R115" s="39"/>
      <c r="S115" s="39"/>
      <c r="T115" s="39"/>
      <c r="U115" s="39"/>
      <c r="V115" s="39"/>
      <c r="W115" s="60" t="s">
        <v>3075</v>
      </c>
    </row>
    <row r="116" spans="1:23" ht="114.75" x14ac:dyDescent="0.2">
      <c r="A116" s="1" t="s">
        <v>178</v>
      </c>
      <c r="B116" s="2" t="s">
        <v>38</v>
      </c>
      <c r="C116" s="2" t="s">
        <v>179</v>
      </c>
      <c r="D116" s="2" t="s">
        <v>173</v>
      </c>
      <c r="E116" s="2">
        <v>2021</v>
      </c>
      <c r="F116" s="2" t="s">
        <v>311</v>
      </c>
      <c r="G116" s="2" t="s">
        <v>1667</v>
      </c>
      <c r="H116" s="2" t="s">
        <v>1669</v>
      </c>
      <c r="I116" s="1" t="s">
        <v>14</v>
      </c>
      <c r="J116" s="1" t="s">
        <v>1928</v>
      </c>
      <c r="L116" s="53"/>
      <c r="M116" s="39"/>
      <c r="N116" s="39"/>
      <c r="O116" s="39"/>
      <c r="P116" s="39"/>
      <c r="Q116" s="39"/>
      <c r="R116" s="39"/>
      <c r="S116" s="39"/>
      <c r="T116" s="39"/>
      <c r="U116" s="39"/>
      <c r="V116" s="39"/>
      <c r="W116" s="60" t="s">
        <v>3075</v>
      </c>
    </row>
    <row r="117" spans="1:23" ht="63.75" x14ac:dyDescent="0.2">
      <c r="A117" s="1" t="s">
        <v>178</v>
      </c>
      <c r="B117" s="2" t="s">
        <v>38</v>
      </c>
      <c r="C117" s="2" t="s">
        <v>179</v>
      </c>
      <c r="D117" s="2" t="s">
        <v>173</v>
      </c>
      <c r="E117" s="2">
        <v>2021</v>
      </c>
      <c r="F117" s="2" t="s">
        <v>1794</v>
      </c>
      <c r="G117" s="2" t="s">
        <v>1667</v>
      </c>
      <c r="H117" s="2" t="s">
        <v>1669</v>
      </c>
      <c r="I117" s="1" t="s">
        <v>14</v>
      </c>
      <c r="J117" s="1" t="s">
        <v>1929</v>
      </c>
      <c r="L117" s="53"/>
      <c r="M117" s="39"/>
      <c r="N117" s="39"/>
      <c r="O117" s="39"/>
      <c r="P117" s="39"/>
      <c r="Q117" s="39"/>
      <c r="R117" s="39"/>
      <c r="S117" s="39"/>
      <c r="T117" s="39"/>
      <c r="U117" s="39"/>
      <c r="V117" s="39"/>
      <c r="W117" s="60" t="s">
        <v>3075</v>
      </c>
    </row>
    <row r="118" spans="1:23" ht="63.75" x14ac:dyDescent="0.2">
      <c r="A118" s="1" t="s">
        <v>178</v>
      </c>
      <c r="B118" s="2" t="s">
        <v>38</v>
      </c>
      <c r="C118" s="2" t="s">
        <v>179</v>
      </c>
      <c r="D118" s="2" t="s">
        <v>173</v>
      </c>
      <c r="E118" s="2">
        <v>2021</v>
      </c>
      <c r="F118" s="2" t="s">
        <v>1796</v>
      </c>
      <c r="G118" s="2" t="s">
        <v>1667</v>
      </c>
      <c r="H118" s="2" t="s">
        <v>1669</v>
      </c>
      <c r="I118" s="1" t="s">
        <v>14</v>
      </c>
      <c r="J118" s="1" t="s">
        <v>1930</v>
      </c>
      <c r="L118" s="53"/>
      <c r="M118" s="39"/>
      <c r="N118" s="39"/>
      <c r="O118" s="39"/>
      <c r="P118" s="39"/>
      <c r="Q118" s="39"/>
      <c r="R118" s="39"/>
      <c r="S118" s="39"/>
      <c r="T118" s="39"/>
      <c r="U118" s="39"/>
      <c r="V118" s="39"/>
      <c r="W118" s="60" t="s">
        <v>3075</v>
      </c>
    </row>
    <row r="119" spans="1:23" ht="63.75" x14ac:dyDescent="0.2">
      <c r="A119" s="1" t="s">
        <v>178</v>
      </c>
      <c r="B119" s="2" t="s">
        <v>38</v>
      </c>
      <c r="C119" s="2" t="s">
        <v>179</v>
      </c>
      <c r="D119" s="2" t="s">
        <v>173</v>
      </c>
      <c r="E119" s="2">
        <v>2021</v>
      </c>
      <c r="F119" s="2" t="s">
        <v>1798</v>
      </c>
      <c r="G119" s="2" t="s">
        <v>1667</v>
      </c>
      <c r="H119" s="2" t="s">
        <v>1669</v>
      </c>
      <c r="I119" s="1" t="s">
        <v>14</v>
      </c>
      <c r="J119" s="1" t="s">
        <v>1931</v>
      </c>
      <c r="L119" s="53"/>
      <c r="M119" s="39"/>
      <c r="N119" s="39"/>
      <c r="O119" s="39"/>
      <c r="P119" s="39"/>
      <c r="Q119" s="39"/>
      <c r="R119" s="39"/>
      <c r="S119" s="39"/>
      <c r="T119" s="39"/>
      <c r="U119" s="39"/>
      <c r="V119" s="39"/>
      <c r="W119" s="60" t="s">
        <v>3075</v>
      </c>
    </row>
    <row r="120" spans="1:23" ht="25.5" x14ac:dyDescent="0.2">
      <c r="A120" s="1" t="s">
        <v>125</v>
      </c>
      <c r="B120" s="2" t="s">
        <v>10</v>
      </c>
      <c r="C120" s="2" t="s">
        <v>126</v>
      </c>
      <c r="D120" s="2" t="s">
        <v>124</v>
      </c>
      <c r="E120" s="2">
        <v>2021</v>
      </c>
      <c r="F120" s="2" t="s">
        <v>1776</v>
      </c>
      <c r="G120" s="2" t="s">
        <v>1667</v>
      </c>
      <c r="H120" s="2" t="s">
        <v>1669</v>
      </c>
      <c r="I120" s="1" t="s">
        <v>14</v>
      </c>
      <c r="J120" s="1" t="s">
        <v>1932</v>
      </c>
      <c r="L120" s="53"/>
      <c r="M120" s="39"/>
      <c r="N120" s="39"/>
      <c r="O120" s="39"/>
      <c r="P120" s="39"/>
      <c r="Q120" s="39"/>
      <c r="R120" s="39"/>
      <c r="S120" s="39"/>
      <c r="T120" s="39"/>
      <c r="U120" s="39"/>
      <c r="V120" s="39"/>
      <c r="W120" s="60" t="s">
        <v>1735</v>
      </c>
    </row>
    <row r="121" spans="1:23" ht="25.5" x14ac:dyDescent="0.2">
      <c r="A121" s="1" t="s">
        <v>125</v>
      </c>
      <c r="B121" s="2" t="s">
        <v>10</v>
      </c>
      <c r="C121" s="2" t="s">
        <v>126</v>
      </c>
      <c r="D121" s="2" t="s">
        <v>124</v>
      </c>
      <c r="E121" s="2">
        <v>2021</v>
      </c>
      <c r="F121" s="2" t="s">
        <v>1779</v>
      </c>
      <c r="G121" s="2" t="s">
        <v>1667</v>
      </c>
      <c r="H121" s="2" t="s">
        <v>1669</v>
      </c>
      <c r="I121" s="1" t="s">
        <v>14</v>
      </c>
      <c r="J121" s="1" t="s">
        <v>1933</v>
      </c>
      <c r="L121" s="53"/>
      <c r="M121" s="39"/>
      <c r="N121" s="39"/>
      <c r="O121" s="39"/>
      <c r="P121" s="39"/>
      <c r="Q121" s="39"/>
      <c r="R121" s="39"/>
      <c r="S121" s="39"/>
      <c r="T121" s="39"/>
      <c r="U121" s="39"/>
      <c r="V121" s="39"/>
      <c r="W121" s="60" t="s">
        <v>1735</v>
      </c>
    </row>
    <row r="122" spans="1:23" ht="25.5" x14ac:dyDescent="0.2">
      <c r="A122" s="1" t="s">
        <v>125</v>
      </c>
      <c r="B122" s="2" t="s">
        <v>10</v>
      </c>
      <c r="C122" s="2" t="s">
        <v>126</v>
      </c>
      <c r="D122" s="2" t="s">
        <v>124</v>
      </c>
      <c r="E122" s="2">
        <v>2021</v>
      </c>
      <c r="F122" s="2" t="s">
        <v>1781</v>
      </c>
      <c r="G122" s="2" t="s">
        <v>1667</v>
      </c>
      <c r="H122" s="2" t="s">
        <v>1669</v>
      </c>
      <c r="I122" s="1" t="s">
        <v>14</v>
      </c>
      <c r="J122" s="1" t="s">
        <v>1934</v>
      </c>
      <c r="L122" s="53"/>
      <c r="M122" s="39"/>
      <c r="N122" s="39"/>
      <c r="O122" s="39"/>
      <c r="P122" s="39"/>
      <c r="Q122" s="39"/>
      <c r="R122" s="39"/>
      <c r="S122" s="39"/>
      <c r="T122" s="39"/>
      <c r="U122" s="39"/>
      <c r="V122" s="39"/>
      <c r="W122" s="60" t="s">
        <v>1735</v>
      </c>
    </row>
    <row r="123" spans="1:23" ht="25.5" x14ac:dyDescent="0.2">
      <c r="A123" s="1" t="s">
        <v>125</v>
      </c>
      <c r="B123" s="2" t="s">
        <v>10</v>
      </c>
      <c r="C123" s="2" t="s">
        <v>126</v>
      </c>
      <c r="D123" s="2" t="s">
        <v>124</v>
      </c>
      <c r="E123" s="2">
        <v>2021</v>
      </c>
      <c r="F123" s="2" t="s">
        <v>1783</v>
      </c>
      <c r="G123" s="2" t="s">
        <v>1667</v>
      </c>
      <c r="H123" s="2" t="s">
        <v>1669</v>
      </c>
      <c r="I123" s="1" t="s">
        <v>14</v>
      </c>
      <c r="J123" s="1" t="s">
        <v>1935</v>
      </c>
      <c r="L123" s="53"/>
      <c r="M123" s="39"/>
      <c r="N123" s="39"/>
      <c r="O123" s="39"/>
      <c r="P123" s="39"/>
      <c r="Q123" s="39"/>
      <c r="R123" s="39"/>
      <c r="S123" s="39"/>
      <c r="T123" s="39"/>
      <c r="U123" s="39"/>
      <c r="V123" s="39"/>
      <c r="W123" s="60" t="s">
        <v>1735</v>
      </c>
    </row>
    <row r="124" spans="1:23" ht="25.5" x14ac:dyDescent="0.2">
      <c r="A124" s="1" t="s">
        <v>125</v>
      </c>
      <c r="B124" s="2" t="s">
        <v>10</v>
      </c>
      <c r="C124" s="2" t="s">
        <v>126</v>
      </c>
      <c r="D124" s="2" t="s">
        <v>124</v>
      </c>
      <c r="E124" s="2">
        <v>2021</v>
      </c>
      <c r="F124" s="2" t="s">
        <v>1785</v>
      </c>
      <c r="G124" s="2" t="s">
        <v>1667</v>
      </c>
      <c r="H124" s="2" t="s">
        <v>1669</v>
      </c>
      <c r="I124" s="1" t="s">
        <v>14</v>
      </c>
      <c r="J124" s="1" t="s">
        <v>1936</v>
      </c>
      <c r="L124" s="53"/>
      <c r="M124" s="39"/>
      <c r="N124" s="39"/>
      <c r="O124" s="39"/>
      <c r="P124" s="39"/>
      <c r="Q124" s="39"/>
      <c r="R124" s="39"/>
      <c r="S124" s="39"/>
      <c r="T124" s="39"/>
      <c r="U124" s="39"/>
      <c r="V124" s="39"/>
      <c r="W124" s="60" t="s">
        <v>1735</v>
      </c>
    </row>
    <row r="125" spans="1:23" ht="25.5" x14ac:dyDescent="0.2">
      <c r="A125" s="1" t="s">
        <v>125</v>
      </c>
      <c r="B125" s="2" t="s">
        <v>10</v>
      </c>
      <c r="C125" s="2" t="s">
        <v>126</v>
      </c>
      <c r="D125" s="2" t="s">
        <v>124</v>
      </c>
      <c r="E125" s="2">
        <v>2021</v>
      </c>
      <c r="F125" s="2" t="s">
        <v>1787</v>
      </c>
      <c r="G125" s="2" t="s">
        <v>1667</v>
      </c>
      <c r="H125" s="2" t="s">
        <v>1669</v>
      </c>
      <c r="I125" s="1" t="s">
        <v>14</v>
      </c>
      <c r="J125" s="1" t="s">
        <v>1937</v>
      </c>
      <c r="L125" s="53"/>
      <c r="M125" s="39"/>
      <c r="N125" s="39"/>
      <c r="O125" s="39"/>
      <c r="P125" s="39"/>
      <c r="Q125" s="39"/>
      <c r="R125" s="39"/>
      <c r="S125" s="39"/>
      <c r="T125" s="39"/>
      <c r="U125" s="39"/>
      <c r="V125" s="39"/>
      <c r="W125" s="60" t="s">
        <v>1735</v>
      </c>
    </row>
    <row r="126" spans="1:23" ht="25.5" x14ac:dyDescent="0.2">
      <c r="A126" s="1" t="s">
        <v>125</v>
      </c>
      <c r="B126" s="2" t="s">
        <v>10</v>
      </c>
      <c r="C126" s="2" t="s">
        <v>126</v>
      </c>
      <c r="D126" s="2" t="s">
        <v>124</v>
      </c>
      <c r="E126" s="2">
        <v>2021</v>
      </c>
      <c r="F126" s="2" t="s">
        <v>1789</v>
      </c>
      <c r="G126" s="2" t="s">
        <v>1667</v>
      </c>
      <c r="H126" s="2" t="s">
        <v>1669</v>
      </c>
      <c r="I126" s="1" t="s">
        <v>14</v>
      </c>
      <c r="J126" s="1" t="s">
        <v>1938</v>
      </c>
      <c r="L126" s="53"/>
      <c r="M126" s="39"/>
      <c r="N126" s="39"/>
      <c r="O126" s="39"/>
      <c r="P126" s="39"/>
      <c r="Q126" s="39"/>
      <c r="R126" s="39"/>
      <c r="S126" s="39"/>
      <c r="T126" s="39"/>
      <c r="U126" s="39"/>
      <c r="V126" s="39"/>
      <c r="W126" s="60" t="s">
        <v>1735</v>
      </c>
    </row>
    <row r="127" spans="1:23" ht="25.5" x14ac:dyDescent="0.2">
      <c r="A127" s="1" t="s">
        <v>125</v>
      </c>
      <c r="B127" s="2" t="s">
        <v>10</v>
      </c>
      <c r="C127" s="2" t="s">
        <v>126</v>
      </c>
      <c r="D127" s="2" t="s">
        <v>124</v>
      </c>
      <c r="E127" s="2">
        <v>2021</v>
      </c>
      <c r="F127" s="2" t="s">
        <v>1791</v>
      </c>
      <c r="G127" s="2" t="s">
        <v>1667</v>
      </c>
      <c r="H127" s="2" t="s">
        <v>1669</v>
      </c>
      <c r="I127" s="1" t="s">
        <v>14</v>
      </c>
      <c r="J127" s="1" t="s">
        <v>1939</v>
      </c>
      <c r="L127" s="53"/>
      <c r="M127" s="39"/>
      <c r="N127" s="39"/>
      <c r="O127" s="39"/>
      <c r="P127" s="39"/>
      <c r="Q127" s="39"/>
      <c r="R127" s="39"/>
      <c r="S127" s="39"/>
      <c r="T127" s="39"/>
      <c r="U127" s="39"/>
      <c r="V127" s="39"/>
      <c r="W127" s="60" t="s">
        <v>1735</v>
      </c>
    </row>
    <row r="128" spans="1:23" ht="25.5" x14ac:dyDescent="0.2">
      <c r="A128" s="1" t="s">
        <v>125</v>
      </c>
      <c r="B128" s="2" t="s">
        <v>10</v>
      </c>
      <c r="C128" s="2" t="s">
        <v>126</v>
      </c>
      <c r="D128" s="2" t="s">
        <v>124</v>
      </c>
      <c r="E128" s="2">
        <v>2021</v>
      </c>
      <c r="F128" s="2" t="s">
        <v>311</v>
      </c>
      <c r="G128" s="2" t="s">
        <v>1667</v>
      </c>
      <c r="H128" s="2" t="s">
        <v>1669</v>
      </c>
      <c r="I128" s="1" t="s">
        <v>14</v>
      </c>
      <c r="J128" s="1" t="s">
        <v>1940</v>
      </c>
      <c r="L128" s="53"/>
      <c r="M128" s="39"/>
      <c r="N128" s="39"/>
      <c r="O128" s="39"/>
      <c r="P128" s="39"/>
      <c r="Q128" s="39"/>
      <c r="R128" s="39"/>
      <c r="S128" s="39"/>
      <c r="T128" s="39"/>
      <c r="U128" s="39"/>
      <c r="V128" s="39"/>
      <c r="W128" s="60" t="s">
        <v>1735</v>
      </c>
    </row>
    <row r="129" spans="1:23" ht="25.5" x14ac:dyDescent="0.2">
      <c r="A129" s="1" t="s">
        <v>125</v>
      </c>
      <c r="B129" s="2" t="s">
        <v>10</v>
      </c>
      <c r="C129" s="2" t="s">
        <v>126</v>
      </c>
      <c r="D129" s="2" t="s">
        <v>124</v>
      </c>
      <c r="E129" s="2">
        <v>2021</v>
      </c>
      <c r="F129" s="2" t="s">
        <v>1794</v>
      </c>
      <c r="G129" s="2" t="s">
        <v>1667</v>
      </c>
      <c r="H129" s="2" t="s">
        <v>1669</v>
      </c>
      <c r="I129" s="1" t="s">
        <v>14</v>
      </c>
      <c r="J129" s="1" t="s">
        <v>1941</v>
      </c>
      <c r="L129" s="53"/>
      <c r="M129" s="39"/>
      <c r="N129" s="39"/>
      <c r="O129" s="39"/>
      <c r="P129" s="39"/>
      <c r="Q129" s="39"/>
      <c r="R129" s="39"/>
      <c r="S129" s="39"/>
      <c r="T129" s="39"/>
      <c r="U129" s="39"/>
      <c r="V129" s="39"/>
      <c r="W129" s="60" t="s">
        <v>1735</v>
      </c>
    </row>
    <row r="130" spans="1:23" ht="25.5" x14ac:dyDescent="0.2">
      <c r="A130" s="1" t="s">
        <v>125</v>
      </c>
      <c r="B130" s="2" t="s">
        <v>10</v>
      </c>
      <c r="C130" s="2" t="s">
        <v>126</v>
      </c>
      <c r="D130" s="2" t="s">
        <v>124</v>
      </c>
      <c r="E130" s="2">
        <v>2021</v>
      </c>
      <c r="F130" s="2" t="s">
        <v>1796</v>
      </c>
      <c r="G130" s="2" t="s">
        <v>1667</v>
      </c>
      <c r="H130" s="2" t="s">
        <v>1669</v>
      </c>
      <c r="I130" s="1" t="s">
        <v>14</v>
      </c>
      <c r="J130" s="1" t="s">
        <v>1942</v>
      </c>
      <c r="L130" s="53"/>
      <c r="M130" s="39"/>
      <c r="N130" s="39"/>
      <c r="O130" s="39"/>
      <c r="P130" s="39"/>
      <c r="Q130" s="39"/>
      <c r="R130" s="39"/>
      <c r="S130" s="39"/>
      <c r="T130" s="39"/>
      <c r="U130" s="39"/>
      <c r="V130" s="39"/>
      <c r="W130" s="60" t="s">
        <v>1735</v>
      </c>
    </row>
    <row r="131" spans="1:23" ht="25.5" x14ac:dyDescent="0.2">
      <c r="A131" s="1" t="s">
        <v>125</v>
      </c>
      <c r="B131" s="2" t="s">
        <v>10</v>
      </c>
      <c r="C131" s="2" t="s">
        <v>126</v>
      </c>
      <c r="D131" s="2" t="s">
        <v>124</v>
      </c>
      <c r="E131" s="2">
        <v>2021</v>
      </c>
      <c r="F131" s="2" t="s">
        <v>1798</v>
      </c>
      <c r="G131" s="2" t="s">
        <v>1667</v>
      </c>
      <c r="H131" s="2" t="s">
        <v>1669</v>
      </c>
      <c r="I131" s="1" t="s">
        <v>14</v>
      </c>
      <c r="J131" s="1" t="s">
        <v>1943</v>
      </c>
      <c r="L131" s="53"/>
      <c r="M131" s="39"/>
      <c r="N131" s="39"/>
      <c r="O131" s="39"/>
      <c r="P131" s="39"/>
      <c r="Q131" s="39"/>
      <c r="R131" s="39"/>
      <c r="S131" s="39"/>
      <c r="T131" s="39"/>
      <c r="U131" s="39"/>
      <c r="V131" s="39"/>
      <c r="W131" s="60" t="s">
        <v>1735</v>
      </c>
    </row>
    <row r="132" spans="1:23" ht="25.5" x14ac:dyDescent="0.2">
      <c r="A132" s="1" t="s">
        <v>165</v>
      </c>
      <c r="B132" s="2" t="s">
        <v>38</v>
      </c>
      <c r="C132" s="2" t="s">
        <v>166</v>
      </c>
      <c r="D132" s="2" t="s">
        <v>167</v>
      </c>
      <c r="E132" s="2">
        <v>2021</v>
      </c>
      <c r="F132" s="2" t="s">
        <v>1781</v>
      </c>
      <c r="G132" s="2" t="s">
        <v>1667</v>
      </c>
      <c r="H132" s="2" t="s">
        <v>1669</v>
      </c>
      <c r="I132" s="1" t="s">
        <v>14</v>
      </c>
      <c r="J132" s="1" t="s">
        <v>1944</v>
      </c>
      <c r="L132" s="53">
        <v>0.21199999999999999</v>
      </c>
      <c r="M132" s="39"/>
      <c r="N132" s="39"/>
      <c r="O132" s="39"/>
      <c r="P132" s="39"/>
      <c r="Q132" s="39"/>
      <c r="R132" s="39">
        <f>14*0.8</f>
        <v>11.200000000000001</v>
      </c>
      <c r="S132" s="39"/>
      <c r="T132" s="39"/>
      <c r="U132" s="39"/>
      <c r="V132" s="39"/>
      <c r="W132" s="60" t="s">
        <v>1680</v>
      </c>
    </row>
    <row r="133" spans="1:23" ht="25.5" x14ac:dyDescent="0.2">
      <c r="A133" s="1" t="s">
        <v>165</v>
      </c>
      <c r="B133" s="2" t="s">
        <v>38</v>
      </c>
      <c r="C133" s="2" t="s">
        <v>166</v>
      </c>
      <c r="D133" s="2" t="s">
        <v>167</v>
      </c>
      <c r="E133" s="2">
        <v>2021</v>
      </c>
      <c r="F133" s="2" t="s">
        <v>1785</v>
      </c>
      <c r="G133" s="2" t="s">
        <v>1667</v>
      </c>
      <c r="H133" s="2" t="s">
        <v>1669</v>
      </c>
      <c r="I133" s="1" t="s">
        <v>14</v>
      </c>
      <c r="J133" s="1" t="s">
        <v>1945</v>
      </c>
      <c r="L133" s="53">
        <v>0.22700000000000001</v>
      </c>
      <c r="M133" s="39"/>
      <c r="N133" s="39"/>
      <c r="O133" s="39"/>
      <c r="P133" s="39"/>
      <c r="Q133" s="39"/>
      <c r="R133" s="39">
        <f>13.2*0.8</f>
        <v>10.56</v>
      </c>
      <c r="S133" s="39"/>
      <c r="T133" s="39"/>
      <c r="U133" s="39"/>
      <c r="V133" s="39"/>
      <c r="W133" s="60" t="s">
        <v>1680</v>
      </c>
    </row>
    <row r="134" spans="1:23" ht="25.5" x14ac:dyDescent="0.2">
      <c r="A134" s="1" t="s">
        <v>165</v>
      </c>
      <c r="B134" s="2" t="s">
        <v>38</v>
      </c>
      <c r="C134" s="2" t="s">
        <v>166</v>
      </c>
      <c r="D134" s="2" t="s">
        <v>167</v>
      </c>
      <c r="E134" s="2">
        <v>2021</v>
      </c>
      <c r="F134" s="2" t="s">
        <v>1794</v>
      </c>
      <c r="G134" s="2" t="s">
        <v>1667</v>
      </c>
      <c r="H134" s="2" t="s">
        <v>1669</v>
      </c>
      <c r="I134" s="1" t="s">
        <v>14</v>
      </c>
      <c r="J134" s="1" t="s">
        <v>1946</v>
      </c>
      <c r="L134" s="53">
        <v>0.23799999999999999</v>
      </c>
      <c r="M134" s="39"/>
      <c r="N134" s="39"/>
      <c r="O134" s="39"/>
      <c r="P134" s="39"/>
      <c r="Q134" s="39"/>
      <c r="R134" s="39">
        <f>10*0.8</f>
        <v>8</v>
      </c>
      <c r="S134" s="39"/>
      <c r="T134" s="39"/>
      <c r="U134" s="39"/>
      <c r="V134" s="39"/>
      <c r="W134" s="60" t="s">
        <v>1680</v>
      </c>
    </row>
    <row r="135" spans="1:23" ht="25.5" x14ac:dyDescent="0.2">
      <c r="A135" s="1" t="s">
        <v>127</v>
      </c>
      <c r="B135" s="2" t="s">
        <v>16</v>
      </c>
      <c r="C135" s="2" t="s">
        <v>128</v>
      </c>
      <c r="D135" s="2" t="s">
        <v>129</v>
      </c>
      <c r="E135" s="2">
        <v>2021</v>
      </c>
      <c r="F135" s="2" t="s">
        <v>1776</v>
      </c>
      <c r="G135" s="2" t="s">
        <v>1667</v>
      </c>
      <c r="H135" s="2" t="s">
        <v>1669</v>
      </c>
      <c r="I135" s="1" t="s">
        <v>14</v>
      </c>
      <c r="J135" s="1" t="s">
        <v>1947</v>
      </c>
      <c r="L135" s="33">
        <v>0.3</v>
      </c>
      <c r="M135" s="15"/>
      <c r="N135" s="15"/>
      <c r="O135" s="15">
        <f>19.9+17.2+20.2+19.7+19.6</f>
        <v>96.6</v>
      </c>
      <c r="P135" s="15"/>
      <c r="Q135" s="15"/>
      <c r="R135" s="15"/>
      <c r="S135" s="15"/>
      <c r="T135" s="15"/>
      <c r="U135" s="15"/>
      <c r="V135" s="15"/>
      <c r="W135" s="60"/>
    </row>
    <row r="136" spans="1:23" ht="25.5" x14ac:dyDescent="0.2">
      <c r="A136" s="1" t="s">
        <v>127</v>
      </c>
      <c r="B136" s="2" t="s">
        <v>16</v>
      </c>
      <c r="C136" s="2" t="s">
        <v>128</v>
      </c>
      <c r="D136" s="2" t="s">
        <v>129</v>
      </c>
      <c r="E136" s="2">
        <v>2021</v>
      </c>
      <c r="F136" s="2" t="s">
        <v>1779</v>
      </c>
      <c r="G136" s="2" t="s">
        <v>1667</v>
      </c>
      <c r="H136" s="2" t="s">
        <v>1669</v>
      </c>
      <c r="I136" s="1" t="s">
        <v>14</v>
      </c>
      <c r="J136" s="1" t="s">
        <v>1948</v>
      </c>
      <c r="L136" s="53">
        <v>0.33100000000000002</v>
      </c>
      <c r="M136" s="39"/>
      <c r="N136" s="39"/>
      <c r="O136" s="39">
        <f>20+21.7+20+19.4</f>
        <v>81.099999999999994</v>
      </c>
      <c r="P136" s="39"/>
      <c r="Q136" s="39"/>
      <c r="R136" s="39"/>
      <c r="S136" s="39"/>
      <c r="T136" s="39"/>
      <c r="U136" s="39"/>
      <c r="V136" s="39"/>
      <c r="W136" s="60"/>
    </row>
    <row r="137" spans="1:23" ht="25.5" x14ac:dyDescent="0.2">
      <c r="A137" s="1" t="s">
        <v>127</v>
      </c>
      <c r="B137" s="2" t="s">
        <v>16</v>
      </c>
      <c r="C137" s="2" t="s">
        <v>128</v>
      </c>
      <c r="D137" s="2" t="s">
        <v>129</v>
      </c>
      <c r="E137" s="2">
        <v>2021</v>
      </c>
      <c r="F137" s="2" t="s">
        <v>1781</v>
      </c>
      <c r="G137" s="2" t="s">
        <v>1667</v>
      </c>
      <c r="H137" s="2" t="s">
        <v>1669</v>
      </c>
      <c r="I137" s="1" t="s">
        <v>14</v>
      </c>
      <c r="J137" s="1" t="s">
        <v>1949</v>
      </c>
      <c r="L137" s="53">
        <v>0.32200000000000001</v>
      </c>
      <c r="M137" s="39"/>
      <c r="N137" s="39"/>
      <c r="O137" s="39">
        <f>18.2+19.3+18.5+17.6+16.2+15.8+15.3</f>
        <v>120.89999999999999</v>
      </c>
      <c r="P137" s="39"/>
      <c r="Q137" s="39"/>
      <c r="R137" s="39"/>
      <c r="S137" s="39"/>
      <c r="T137" s="39"/>
      <c r="U137" s="39"/>
      <c r="V137" s="39"/>
      <c r="W137" s="60"/>
    </row>
    <row r="138" spans="1:23" ht="25.5" x14ac:dyDescent="0.2">
      <c r="A138" s="1" t="s">
        <v>127</v>
      </c>
      <c r="B138" s="2" t="s">
        <v>16</v>
      </c>
      <c r="C138" s="2" t="s">
        <v>128</v>
      </c>
      <c r="D138" s="2" t="s">
        <v>129</v>
      </c>
      <c r="E138" s="2">
        <v>2021</v>
      </c>
      <c r="F138" s="2" t="s">
        <v>1783</v>
      </c>
      <c r="G138" s="2" t="s">
        <v>1667</v>
      </c>
      <c r="H138" s="2" t="s">
        <v>1669</v>
      </c>
      <c r="I138" s="1" t="s">
        <v>14</v>
      </c>
      <c r="J138" s="1" t="s">
        <v>1950</v>
      </c>
      <c r="L138" s="53">
        <v>0.33300000000000002</v>
      </c>
      <c r="M138" s="39"/>
      <c r="N138" s="39"/>
      <c r="O138" s="39">
        <f>16+13.7+15+12.3+15.9+15.9</f>
        <v>88.800000000000011</v>
      </c>
      <c r="P138" s="39"/>
      <c r="Q138" s="39"/>
      <c r="R138" s="39"/>
      <c r="S138" s="39"/>
      <c r="T138" s="39"/>
      <c r="U138" s="39"/>
      <c r="V138" s="39"/>
      <c r="W138" s="60"/>
    </row>
    <row r="139" spans="1:23" ht="25.5" x14ac:dyDescent="0.2">
      <c r="A139" s="1" t="s">
        <v>127</v>
      </c>
      <c r="B139" s="2" t="s">
        <v>16</v>
      </c>
      <c r="C139" s="2" t="s">
        <v>128</v>
      </c>
      <c r="D139" s="2" t="s">
        <v>129</v>
      </c>
      <c r="E139" s="2">
        <v>2021</v>
      </c>
      <c r="F139" s="2" t="s">
        <v>1785</v>
      </c>
      <c r="G139" s="2" t="s">
        <v>1667</v>
      </c>
      <c r="H139" s="2" t="s">
        <v>1669</v>
      </c>
      <c r="I139" s="1" t="s">
        <v>14</v>
      </c>
      <c r="J139" s="1" t="s">
        <v>1951</v>
      </c>
      <c r="L139" s="53">
        <v>0.29199999999999998</v>
      </c>
      <c r="M139" s="39"/>
      <c r="N139" s="39"/>
      <c r="O139" s="39">
        <f>21.2+20+20.7+18.8+20+20.5</f>
        <v>121.2</v>
      </c>
      <c r="P139" s="39"/>
      <c r="Q139" s="39"/>
      <c r="R139" s="39"/>
      <c r="S139" s="39"/>
      <c r="T139" s="39"/>
      <c r="U139" s="39"/>
      <c r="V139" s="39"/>
      <c r="W139" s="60"/>
    </row>
    <row r="140" spans="1:23" ht="25.5" x14ac:dyDescent="0.2">
      <c r="A140" s="1" t="s">
        <v>127</v>
      </c>
      <c r="B140" s="2" t="s">
        <v>16</v>
      </c>
      <c r="C140" s="2" t="s">
        <v>128</v>
      </c>
      <c r="D140" s="2" t="s">
        <v>129</v>
      </c>
      <c r="E140" s="2">
        <v>2021</v>
      </c>
      <c r="F140" s="2" t="s">
        <v>1787</v>
      </c>
      <c r="G140" s="2" t="s">
        <v>1667</v>
      </c>
      <c r="H140" s="2" t="s">
        <v>1669</v>
      </c>
      <c r="I140" s="1" t="s">
        <v>14</v>
      </c>
      <c r="J140" s="1" t="s">
        <v>1952</v>
      </c>
      <c r="L140" s="53">
        <v>0.27400000000000002</v>
      </c>
      <c r="M140" s="39"/>
      <c r="N140" s="39"/>
      <c r="O140" s="39">
        <f>17.9+19.8+21.6+18.1+20.5</f>
        <v>97.9</v>
      </c>
      <c r="P140" s="39"/>
      <c r="Q140" s="39"/>
      <c r="R140" s="39"/>
      <c r="S140" s="39"/>
      <c r="T140" s="39"/>
      <c r="U140" s="39"/>
      <c r="V140" s="39"/>
      <c r="W140" s="60"/>
    </row>
    <row r="141" spans="1:23" ht="38.25" x14ac:dyDescent="0.2">
      <c r="A141" s="1" t="s">
        <v>127</v>
      </c>
      <c r="B141" s="2" t="s">
        <v>16</v>
      </c>
      <c r="C141" s="2" t="s">
        <v>128</v>
      </c>
      <c r="D141" s="2" t="s">
        <v>129</v>
      </c>
      <c r="E141" s="2">
        <v>2021</v>
      </c>
      <c r="F141" s="2" t="s">
        <v>1789</v>
      </c>
      <c r="G141" s="2" t="s">
        <v>1667</v>
      </c>
      <c r="H141" s="2" t="s">
        <v>1669</v>
      </c>
      <c r="I141" s="1" t="s">
        <v>14</v>
      </c>
      <c r="J141" s="1" t="s">
        <v>1953</v>
      </c>
      <c r="L141" s="53">
        <v>0.31</v>
      </c>
      <c r="M141" s="39"/>
      <c r="N141" s="39"/>
      <c r="O141" s="39">
        <f>22.4+20.5+20.4+21.4+20.4+20.9+21.4</f>
        <v>147.4</v>
      </c>
      <c r="P141" s="39"/>
      <c r="Q141" s="39"/>
      <c r="R141" s="39"/>
      <c r="S141" s="39"/>
      <c r="T141" s="39"/>
      <c r="U141" s="39"/>
      <c r="V141" s="39"/>
      <c r="W141" s="60"/>
    </row>
    <row r="142" spans="1:23" ht="25.5" x14ac:dyDescent="0.2">
      <c r="A142" s="1" t="s">
        <v>127</v>
      </c>
      <c r="B142" s="2" t="s">
        <v>16</v>
      </c>
      <c r="C142" s="2" t="s">
        <v>128</v>
      </c>
      <c r="D142" s="2" t="s">
        <v>129</v>
      </c>
      <c r="E142" s="2">
        <v>2021</v>
      </c>
      <c r="F142" s="2" t="s">
        <v>1791</v>
      </c>
      <c r="G142" s="2" t="s">
        <v>1667</v>
      </c>
      <c r="H142" s="2" t="s">
        <v>1669</v>
      </c>
      <c r="I142" s="1" t="s">
        <v>14</v>
      </c>
      <c r="J142" s="1" t="s">
        <v>1954</v>
      </c>
      <c r="L142" s="53">
        <v>0.313</v>
      </c>
      <c r="M142" s="39"/>
      <c r="N142" s="39"/>
      <c r="O142" s="39">
        <f>20.1+19.5+21.7+20.1+19.7+19.4</f>
        <v>120.5</v>
      </c>
      <c r="P142" s="39"/>
      <c r="Q142" s="39"/>
      <c r="R142" s="39"/>
      <c r="S142" s="39"/>
      <c r="T142" s="39"/>
      <c r="U142" s="39"/>
      <c r="V142" s="39"/>
      <c r="W142" s="60"/>
    </row>
    <row r="143" spans="1:23" ht="25.5" x14ac:dyDescent="0.2">
      <c r="A143" s="1" t="s">
        <v>127</v>
      </c>
      <c r="B143" s="2" t="s">
        <v>16</v>
      </c>
      <c r="C143" s="2" t="s">
        <v>128</v>
      </c>
      <c r="D143" s="2" t="s">
        <v>129</v>
      </c>
      <c r="E143" s="2">
        <v>2021</v>
      </c>
      <c r="F143" s="2" t="s">
        <v>311</v>
      </c>
      <c r="G143" s="2" t="s">
        <v>1667</v>
      </c>
      <c r="H143" s="2" t="s">
        <v>1669</v>
      </c>
      <c r="I143" s="1" t="s">
        <v>14</v>
      </c>
      <c r="J143" s="1" t="s">
        <v>1955</v>
      </c>
      <c r="L143" s="53">
        <v>0.29299999999999998</v>
      </c>
      <c r="M143" s="39"/>
      <c r="N143" s="39"/>
      <c r="O143" s="39">
        <f>18.6+19.2+21.3+19.8+20.1+20.6</f>
        <v>119.6</v>
      </c>
      <c r="P143" s="39"/>
      <c r="Q143" s="39"/>
      <c r="R143" s="39"/>
      <c r="S143" s="39"/>
      <c r="T143" s="39"/>
      <c r="U143" s="39"/>
      <c r="V143" s="39"/>
      <c r="W143" s="60"/>
    </row>
    <row r="144" spans="1:23" ht="25.5" x14ac:dyDescent="0.2">
      <c r="A144" s="1" t="s">
        <v>127</v>
      </c>
      <c r="B144" s="2" t="s">
        <v>16</v>
      </c>
      <c r="C144" s="2" t="s">
        <v>128</v>
      </c>
      <c r="D144" s="2" t="s">
        <v>129</v>
      </c>
      <c r="E144" s="2">
        <v>2021</v>
      </c>
      <c r="F144" s="2" t="s">
        <v>1794</v>
      </c>
      <c r="G144" s="2" t="s">
        <v>1667</v>
      </c>
      <c r="H144" s="2" t="s">
        <v>1669</v>
      </c>
      <c r="I144" s="1" t="s">
        <v>14</v>
      </c>
      <c r="J144" s="1" t="s">
        <v>1956</v>
      </c>
      <c r="L144" s="53">
        <v>0.27100000000000002</v>
      </c>
      <c r="M144" s="39"/>
      <c r="N144" s="39"/>
      <c r="O144" s="39">
        <f>21.2+20.4+21.7+20.7+20.4</f>
        <v>104.4</v>
      </c>
      <c r="P144" s="39"/>
      <c r="Q144" s="39"/>
      <c r="R144" s="39"/>
      <c r="S144" s="39"/>
      <c r="T144" s="39"/>
      <c r="U144" s="39"/>
      <c r="V144" s="39"/>
      <c r="W144" s="60"/>
    </row>
    <row r="145" spans="1:23" ht="25.5" x14ac:dyDescent="0.2">
      <c r="A145" s="1" t="s">
        <v>127</v>
      </c>
      <c r="B145" s="2" t="s">
        <v>16</v>
      </c>
      <c r="C145" s="2" t="s">
        <v>128</v>
      </c>
      <c r="D145" s="2" t="s">
        <v>129</v>
      </c>
      <c r="E145" s="2">
        <v>2021</v>
      </c>
      <c r="F145" s="2" t="s">
        <v>1796</v>
      </c>
      <c r="G145" s="2" t="s">
        <v>1667</v>
      </c>
      <c r="H145" s="2" t="s">
        <v>1669</v>
      </c>
      <c r="I145" s="1" t="s">
        <v>14</v>
      </c>
      <c r="J145" s="1" t="s">
        <v>1957</v>
      </c>
      <c r="L145" s="53">
        <v>0.28699999999999998</v>
      </c>
      <c r="M145" s="39"/>
      <c r="N145" s="39"/>
      <c r="O145" s="39">
        <f>21.1+19.6+19+22.1+19.5</f>
        <v>101.30000000000001</v>
      </c>
      <c r="P145" s="39"/>
      <c r="Q145" s="39"/>
      <c r="R145" s="39"/>
      <c r="S145" s="39"/>
      <c r="T145" s="39"/>
      <c r="U145" s="39"/>
      <c r="V145" s="39"/>
      <c r="W145" s="60"/>
    </row>
    <row r="146" spans="1:23" ht="25.5" x14ac:dyDescent="0.2">
      <c r="A146" s="1" t="s">
        <v>127</v>
      </c>
      <c r="B146" s="2" t="s">
        <v>16</v>
      </c>
      <c r="C146" s="2" t="s">
        <v>128</v>
      </c>
      <c r="D146" s="2" t="s">
        <v>129</v>
      </c>
      <c r="E146" s="2">
        <v>2021</v>
      </c>
      <c r="F146" s="2" t="s">
        <v>1798</v>
      </c>
      <c r="G146" s="2" t="s">
        <v>1667</v>
      </c>
      <c r="H146" s="2" t="s">
        <v>1669</v>
      </c>
      <c r="I146" s="1" t="s">
        <v>14</v>
      </c>
      <c r="J146" s="1" t="s">
        <v>1958</v>
      </c>
      <c r="L146" s="53">
        <v>0.314</v>
      </c>
      <c r="M146" s="39"/>
      <c r="N146" s="39"/>
      <c r="O146" s="39">
        <f>18.5+21.7+18.5+18.9+21.1</f>
        <v>98.699999999999989</v>
      </c>
      <c r="P146" s="39"/>
      <c r="Q146" s="39"/>
      <c r="R146" s="39"/>
      <c r="S146" s="39"/>
      <c r="T146" s="39"/>
      <c r="U146" s="39"/>
      <c r="V146" s="39"/>
      <c r="W146" s="60"/>
    </row>
    <row r="147" spans="1:23" ht="38.25" x14ac:dyDescent="0.2">
      <c r="A147" s="1" t="s">
        <v>139</v>
      </c>
      <c r="B147" s="2" t="s">
        <v>24</v>
      </c>
      <c r="C147" s="2" t="s">
        <v>140</v>
      </c>
      <c r="D147" s="2" t="s">
        <v>141</v>
      </c>
      <c r="E147" s="2">
        <v>2021</v>
      </c>
      <c r="F147" s="2" t="s">
        <v>1776</v>
      </c>
      <c r="G147" s="2" t="s">
        <v>1667</v>
      </c>
      <c r="H147" s="2" t="s">
        <v>1669</v>
      </c>
      <c r="I147" s="1" t="s">
        <v>14</v>
      </c>
      <c r="J147" s="1" t="s">
        <v>1959</v>
      </c>
      <c r="L147" s="53" t="s">
        <v>1670</v>
      </c>
      <c r="M147" s="39"/>
      <c r="N147" s="39"/>
      <c r="O147" s="39"/>
      <c r="P147" s="39"/>
      <c r="Q147" s="39"/>
      <c r="R147" s="39"/>
      <c r="S147" s="39">
        <v>326.3</v>
      </c>
      <c r="T147" s="39"/>
      <c r="U147" s="39"/>
      <c r="V147" s="39"/>
      <c r="W147" s="60"/>
    </row>
    <row r="148" spans="1:23" ht="38.25" x14ac:dyDescent="0.2">
      <c r="A148" s="1" t="s">
        <v>139</v>
      </c>
      <c r="B148" s="2" t="s">
        <v>24</v>
      </c>
      <c r="C148" s="2" t="s">
        <v>140</v>
      </c>
      <c r="D148" s="2" t="s">
        <v>141</v>
      </c>
      <c r="E148" s="2">
        <v>2021</v>
      </c>
      <c r="F148" s="2" t="s">
        <v>1779</v>
      </c>
      <c r="G148" s="2" t="s">
        <v>1667</v>
      </c>
      <c r="H148" s="2" t="s">
        <v>1669</v>
      </c>
      <c r="I148" s="1" t="s">
        <v>14</v>
      </c>
      <c r="J148" s="1" t="s">
        <v>1960</v>
      </c>
      <c r="L148" s="53" t="s">
        <v>1670</v>
      </c>
      <c r="M148" s="39"/>
      <c r="N148" s="39"/>
      <c r="O148" s="39"/>
      <c r="P148" s="39"/>
      <c r="Q148" s="39"/>
      <c r="R148" s="39"/>
      <c r="S148" s="39">
        <v>272.89999999999998</v>
      </c>
      <c r="T148" s="39"/>
      <c r="U148" s="39"/>
      <c r="V148" s="39"/>
      <c r="W148" s="60"/>
    </row>
    <row r="149" spans="1:23" ht="38.25" x14ac:dyDescent="0.2">
      <c r="A149" s="1" t="s">
        <v>139</v>
      </c>
      <c r="B149" s="2" t="s">
        <v>24</v>
      </c>
      <c r="C149" s="2" t="s">
        <v>140</v>
      </c>
      <c r="D149" s="2" t="s">
        <v>141</v>
      </c>
      <c r="E149" s="2">
        <v>2021</v>
      </c>
      <c r="F149" s="2" t="s">
        <v>1781</v>
      </c>
      <c r="G149" s="2" t="s">
        <v>1667</v>
      </c>
      <c r="H149" s="2" t="s">
        <v>1669</v>
      </c>
      <c r="I149" s="1" t="s">
        <v>14</v>
      </c>
      <c r="J149" s="1" t="s">
        <v>1961</v>
      </c>
      <c r="L149" s="53" t="s">
        <v>1670</v>
      </c>
      <c r="M149" s="39"/>
      <c r="N149" s="39"/>
      <c r="O149" s="39"/>
      <c r="P149" s="39"/>
      <c r="Q149" s="39"/>
      <c r="R149" s="39"/>
      <c r="S149" s="39">
        <v>343.7</v>
      </c>
      <c r="T149" s="39"/>
      <c r="U149" s="39"/>
      <c r="V149" s="39"/>
      <c r="W149" s="60"/>
    </row>
    <row r="150" spans="1:23" ht="51" x14ac:dyDescent="0.2">
      <c r="A150" s="1" t="s">
        <v>139</v>
      </c>
      <c r="B150" s="2" t="s">
        <v>24</v>
      </c>
      <c r="C150" s="2" t="s">
        <v>140</v>
      </c>
      <c r="D150" s="2" t="s">
        <v>141</v>
      </c>
      <c r="E150" s="2">
        <v>2021</v>
      </c>
      <c r="F150" s="2" t="s">
        <v>1783</v>
      </c>
      <c r="G150" s="2" t="s">
        <v>1667</v>
      </c>
      <c r="H150" s="2" t="s">
        <v>1669</v>
      </c>
      <c r="I150" s="1" t="s">
        <v>14</v>
      </c>
      <c r="J150" s="1" t="s">
        <v>1962</v>
      </c>
      <c r="L150" s="53">
        <v>0.27800000000000002</v>
      </c>
      <c r="M150" s="39"/>
      <c r="N150" s="39"/>
      <c r="O150" s="39"/>
      <c r="P150" s="39"/>
      <c r="Q150" s="39"/>
      <c r="R150" s="39"/>
      <c r="S150" s="39">
        <v>371.1</v>
      </c>
      <c r="T150" s="39"/>
      <c r="U150" s="39"/>
      <c r="V150" s="39"/>
      <c r="W150" s="60"/>
    </row>
    <row r="151" spans="1:23" ht="63.75" x14ac:dyDescent="0.2">
      <c r="A151" s="1" t="s">
        <v>139</v>
      </c>
      <c r="B151" s="2" t="s">
        <v>24</v>
      </c>
      <c r="C151" s="2" t="s">
        <v>140</v>
      </c>
      <c r="D151" s="2" t="s">
        <v>141</v>
      </c>
      <c r="E151" s="2">
        <v>2021</v>
      </c>
      <c r="F151" s="2" t="s">
        <v>1785</v>
      </c>
      <c r="G151" s="2" t="s">
        <v>1667</v>
      </c>
      <c r="H151" s="2" t="s">
        <v>1669</v>
      </c>
      <c r="I151" s="1" t="s">
        <v>14</v>
      </c>
      <c r="J151" s="1" t="s">
        <v>1963</v>
      </c>
      <c r="L151" s="53">
        <v>0.26700000000000002</v>
      </c>
      <c r="M151" s="39"/>
      <c r="N151" s="39"/>
      <c r="O151" s="39"/>
      <c r="P151" s="39"/>
      <c r="Q151" s="39"/>
      <c r="R151" s="39"/>
      <c r="S151" s="39">
        <v>405.7</v>
      </c>
      <c r="T151" s="39"/>
      <c r="U151" s="39"/>
      <c r="V151" s="39"/>
      <c r="W151" s="60"/>
    </row>
    <row r="152" spans="1:23" ht="51" x14ac:dyDescent="0.2">
      <c r="A152" s="1" t="s">
        <v>139</v>
      </c>
      <c r="B152" s="2" t="s">
        <v>24</v>
      </c>
      <c r="C152" s="2" t="s">
        <v>140</v>
      </c>
      <c r="D152" s="2" t="s">
        <v>141</v>
      </c>
      <c r="E152" s="2">
        <v>2021</v>
      </c>
      <c r="F152" s="2" t="s">
        <v>1787</v>
      </c>
      <c r="G152" s="2" t="s">
        <v>1667</v>
      </c>
      <c r="H152" s="2" t="s">
        <v>1669</v>
      </c>
      <c r="I152" s="1" t="s">
        <v>14</v>
      </c>
      <c r="J152" s="1" t="s">
        <v>1964</v>
      </c>
      <c r="L152" s="53">
        <v>0.26900000000000002</v>
      </c>
      <c r="M152" s="39"/>
      <c r="N152" s="39"/>
      <c r="O152" s="39"/>
      <c r="P152" s="39"/>
      <c r="Q152" s="39"/>
      <c r="R152" s="39"/>
      <c r="S152" s="39">
        <v>360.7</v>
      </c>
      <c r="T152" s="39"/>
      <c r="U152" s="39"/>
      <c r="V152" s="39"/>
      <c r="W152" s="60"/>
    </row>
    <row r="153" spans="1:23" ht="51" x14ac:dyDescent="0.2">
      <c r="A153" s="1" t="s">
        <v>139</v>
      </c>
      <c r="B153" s="2" t="s">
        <v>24</v>
      </c>
      <c r="C153" s="2" t="s">
        <v>140</v>
      </c>
      <c r="D153" s="2" t="s">
        <v>141</v>
      </c>
      <c r="E153" s="2">
        <v>2021</v>
      </c>
      <c r="F153" s="2" t="s">
        <v>1789</v>
      </c>
      <c r="G153" s="2" t="s">
        <v>1667</v>
      </c>
      <c r="H153" s="2" t="s">
        <v>1669</v>
      </c>
      <c r="I153" s="1" t="s">
        <v>14</v>
      </c>
      <c r="J153" s="1" t="s">
        <v>1965</v>
      </c>
      <c r="L153" s="53">
        <v>0.27200000000000002</v>
      </c>
      <c r="M153" s="39"/>
      <c r="N153" s="39"/>
      <c r="O153" s="39"/>
      <c r="P153" s="39"/>
      <c r="Q153" s="39"/>
      <c r="R153" s="39"/>
      <c r="S153" s="39">
        <v>424.8</v>
      </c>
      <c r="T153" s="39"/>
      <c r="U153" s="39"/>
      <c r="V153" s="39"/>
      <c r="W153" s="60"/>
    </row>
    <row r="154" spans="1:23" ht="51" x14ac:dyDescent="0.2">
      <c r="A154" s="1" t="s">
        <v>139</v>
      </c>
      <c r="B154" s="2" t="s">
        <v>24</v>
      </c>
      <c r="C154" s="2" t="s">
        <v>140</v>
      </c>
      <c r="D154" s="2" t="s">
        <v>141</v>
      </c>
      <c r="E154" s="2">
        <v>2021</v>
      </c>
      <c r="F154" s="2" t="s">
        <v>1791</v>
      </c>
      <c r="G154" s="2" t="s">
        <v>1667</v>
      </c>
      <c r="H154" s="2" t="s">
        <v>1669</v>
      </c>
      <c r="I154" s="1" t="s">
        <v>14</v>
      </c>
      <c r="J154" s="1" t="s">
        <v>1966</v>
      </c>
      <c r="L154" s="53">
        <v>0.254</v>
      </c>
      <c r="M154" s="39"/>
      <c r="N154" s="39"/>
      <c r="O154" s="39"/>
      <c r="P154" s="39"/>
      <c r="Q154" s="39"/>
      <c r="R154" s="39"/>
      <c r="S154" s="39">
        <v>506.8</v>
      </c>
      <c r="T154" s="39"/>
      <c r="U154" s="39"/>
      <c r="V154" s="39"/>
      <c r="W154" s="60"/>
    </row>
    <row r="155" spans="1:23" ht="51" x14ac:dyDescent="0.2">
      <c r="A155" s="1" t="s">
        <v>139</v>
      </c>
      <c r="B155" s="2" t="s">
        <v>24</v>
      </c>
      <c r="C155" s="2" t="s">
        <v>140</v>
      </c>
      <c r="D155" s="2" t="s">
        <v>141</v>
      </c>
      <c r="E155" s="2">
        <v>2021</v>
      </c>
      <c r="F155" s="2" t="s">
        <v>311</v>
      </c>
      <c r="G155" s="2" t="s">
        <v>1667</v>
      </c>
      <c r="H155" s="2" t="s">
        <v>1669</v>
      </c>
      <c r="I155" s="1" t="s">
        <v>14</v>
      </c>
      <c r="J155" s="1" t="s">
        <v>1967</v>
      </c>
      <c r="L155" s="53">
        <v>0.27400000000000002</v>
      </c>
      <c r="M155" s="39"/>
      <c r="N155" s="39"/>
      <c r="O155" s="39"/>
      <c r="P155" s="39"/>
      <c r="Q155" s="39"/>
      <c r="R155" s="39"/>
      <c r="S155" s="39">
        <v>370.7</v>
      </c>
      <c r="T155" s="39"/>
      <c r="U155" s="39"/>
      <c r="V155" s="39"/>
      <c r="W155" s="60"/>
    </row>
    <row r="156" spans="1:23" ht="51" x14ac:dyDescent="0.2">
      <c r="A156" s="1" t="s">
        <v>139</v>
      </c>
      <c r="B156" s="2" t="s">
        <v>24</v>
      </c>
      <c r="C156" s="2" t="s">
        <v>140</v>
      </c>
      <c r="D156" s="2" t="s">
        <v>141</v>
      </c>
      <c r="E156" s="2">
        <v>2021</v>
      </c>
      <c r="F156" s="2" t="s">
        <v>1794</v>
      </c>
      <c r="G156" s="2" t="s">
        <v>1667</v>
      </c>
      <c r="H156" s="2" t="s">
        <v>1669</v>
      </c>
      <c r="I156" s="1" t="s">
        <v>14</v>
      </c>
      <c r="J156" s="1" t="s">
        <v>1968</v>
      </c>
      <c r="L156" s="53">
        <v>0.28199999999999997</v>
      </c>
      <c r="M156" s="39"/>
      <c r="N156" s="39"/>
      <c r="O156" s="39"/>
      <c r="P156" s="39"/>
      <c r="Q156" s="39"/>
      <c r="R156" s="39"/>
      <c r="S156" s="39">
        <v>389.1</v>
      </c>
      <c r="T156" s="39"/>
      <c r="U156" s="39"/>
      <c r="V156" s="39"/>
      <c r="W156" s="60"/>
    </row>
    <row r="157" spans="1:23" ht="63.75" x14ac:dyDescent="0.2">
      <c r="A157" s="1" t="s">
        <v>139</v>
      </c>
      <c r="B157" s="2" t="s">
        <v>24</v>
      </c>
      <c r="C157" s="2" t="s">
        <v>140</v>
      </c>
      <c r="D157" s="2" t="s">
        <v>141</v>
      </c>
      <c r="E157" s="2">
        <v>2021</v>
      </c>
      <c r="F157" s="2" t="s">
        <v>1796</v>
      </c>
      <c r="G157" s="2" t="s">
        <v>1667</v>
      </c>
      <c r="H157" s="2" t="s">
        <v>1669</v>
      </c>
      <c r="I157" s="1" t="s">
        <v>14</v>
      </c>
      <c r="J157" s="1" t="s">
        <v>1969</v>
      </c>
      <c r="L157" s="53">
        <v>0.26100000000000001</v>
      </c>
      <c r="M157" s="39"/>
      <c r="N157" s="39"/>
      <c r="O157" s="39"/>
      <c r="P157" s="39"/>
      <c r="Q157" s="39"/>
      <c r="R157" s="39"/>
      <c r="S157" s="39">
        <v>402.8</v>
      </c>
      <c r="T157" s="39"/>
      <c r="U157" s="39"/>
      <c r="V157" s="39"/>
      <c r="W157" s="60"/>
    </row>
    <row r="158" spans="1:23" ht="51" x14ac:dyDescent="0.2">
      <c r="A158" s="1" t="s">
        <v>139</v>
      </c>
      <c r="B158" s="2" t="s">
        <v>24</v>
      </c>
      <c r="C158" s="2" t="s">
        <v>140</v>
      </c>
      <c r="D158" s="2" t="s">
        <v>141</v>
      </c>
      <c r="E158" s="2">
        <v>2021</v>
      </c>
      <c r="F158" s="2" t="s">
        <v>1798</v>
      </c>
      <c r="G158" s="2" t="s">
        <v>1667</v>
      </c>
      <c r="H158" s="2" t="s">
        <v>1669</v>
      </c>
      <c r="I158" s="1" t="s">
        <v>14</v>
      </c>
      <c r="J158" s="1" t="s">
        <v>1970</v>
      </c>
      <c r="L158" s="53">
        <v>0.28399999999999997</v>
      </c>
      <c r="M158" s="39"/>
      <c r="N158" s="39"/>
      <c r="O158" s="39"/>
      <c r="P158" s="39"/>
      <c r="Q158" s="39"/>
      <c r="R158" s="39"/>
      <c r="S158" s="39">
        <v>325.3</v>
      </c>
      <c r="T158" s="39"/>
      <c r="U158" s="39"/>
      <c r="V158" s="39"/>
      <c r="W158" s="60"/>
    </row>
    <row r="159" spans="1:23" ht="38.25" x14ac:dyDescent="0.2">
      <c r="A159" s="1" t="s">
        <v>199</v>
      </c>
      <c r="B159" s="2" t="s">
        <v>200</v>
      </c>
      <c r="C159" s="2" t="s">
        <v>201</v>
      </c>
      <c r="D159" s="2" t="s">
        <v>202</v>
      </c>
      <c r="E159" s="2">
        <v>2021</v>
      </c>
      <c r="F159" s="2" t="s">
        <v>1781</v>
      </c>
      <c r="G159" s="2" t="s">
        <v>1669</v>
      </c>
      <c r="H159" s="2" t="s">
        <v>1669</v>
      </c>
      <c r="I159" s="1" t="s">
        <v>1971</v>
      </c>
      <c r="J159" s="1" t="s">
        <v>1972</v>
      </c>
      <c r="L159" s="53"/>
      <c r="M159" s="39"/>
      <c r="N159" s="39"/>
      <c r="O159" s="39"/>
      <c r="P159" s="39"/>
      <c r="Q159" s="39"/>
      <c r="R159" s="39"/>
      <c r="S159" s="39"/>
      <c r="T159" s="39"/>
      <c r="U159" s="39"/>
      <c r="V159" s="39"/>
      <c r="W159" s="60" t="s">
        <v>1694</v>
      </c>
    </row>
    <row r="160" spans="1:23" ht="38.25" x14ac:dyDescent="0.2">
      <c r="A160" s="1" t="s">
        <v>199</v>
      </c>
      <c r="B160" s="2" t="s">
        <v>200</v>
      </c>
      <c r="C160" s="2" t="s">
        <v>201</v>
      </c>
      <c r="D160" s="2" t="s">
        <v>202</v>
      </c>
      <c r="E160" s="2">
        <v>2021</v>
      </c>
      <c r="F160" s="2" t="s">
        <v>1787</v>
      </c>
      <c r="G160" s="2" t="s">
        <v>1669</v>
      </c>
      <c r="H160" s="2" t="s">
        <v>1669</v>
      </c>
      <c r="I160" s="1" t="s">
        <v>1973</v>
      </c>
      <c r="J160" s="1" t="s">
        <v>1974</v>
      </c>
      <c r="L160" s="53"/>
      <c r="M160" s="39"/>
      <c r="N160" s="39"/>
      <c r="O160" s="39"/>
      <c r="P160" s="39"/>
      <c r="Q160" s="39"/>
      <c r="R160" s="39"/>
      <c r="S160" s="39"/>
      <c r="T160" s="39"/>
      <c r="U160" s="39"/>
      <c r="V160" s="39"/>
      <c r="W160" s="60" t="s">
        <v>1694</v>
      </c>
    </row>
    <row r="161" spans="1:23" ht="25.5" x14ac:dyDescent="0.2">
      <c r="A161" s="1" t="s">
        <v>199</v>
      </c>
      <c r="B161" s="2" t="s">
        <v>200</v>
      </c>
      <c r="C161" s="2" t="s">
        <v>201</v>
      </c>
      <c r="D161" s="2" t="s">
        <v>202</v>
      </c>
      <c r="E161" s="2">
        <v>2021</v>
      </c>
      <c r="F161" s="2" t="s">
        <v>1794</v>
      </c>
      <c r="G161" s="2" t="s">
        <v>1669</v>
      </c>
      <c r="H161" s="2" t="s">
        <v>1669</v>
      </c>
      <c r="I161" s="1" t="s">
        <v>1975</v>
      </c>
      <c r="J161" s="1" t="s">
        <v>1976</v>
      </c>
      <c r="L161" s="53"/>
      <c r="M161" s="39"/>
      <c r="N161" s="39"/>
      <c r="O161" s="39"/>
      <c r="P161" s="39"/>
      <c r="Q161" s="39"/>
      <c r="R161" s="39"/>
      <c r="S161" s="39"/>
      <c r="T161" s="39"/>
      <c r="U161" s="39"/>
      <c r="V161" s="39"/>
      <c r="W161" s="60" t="s">
        <v>1694</v>
      </c>
    </row>
    <row r="162" spans="1:23" ht="38.25" x14ac:dyDescent="0.2">
      <c r="A162" s="1" t="s">
        <v>258</v>
      </c>
      <c r="B162" s="2" t="s">
        <v>232</v>
      </c>
      <c r="C162" s="2" t="s">
        <v>259</v>
      </c>
      <c r="D162" s="2" t="s">
        <v>108</v>
      </c>
      <c r="E162" s="2">
        <v>2021</v>
      </c>
      <c r="F162" s="2" t="s">
        <v>1791</v>
      </c>
      <c r="G162" s="2" t="s">
        <v>1669</v>
      </c>
      <c r="H162" s="2" t="s">
        <v>1669</v>
      </c>
      <c r="I162" s="1" t="s">
        <v>1977</v>
      </c>
      <c r="J162" s="1" t="s">
        <v>1978</v>
      </c>
      <c r="L162" s="74" t="s">
        <v>1670</v>
      </c>
      <c r="M162" s="15"/>
      <c r="N162" s="15"/>
      <c r="O162" s="15"/>
      <c r="P162" s="15"/>
      <c r="Q162" s="15"/>
      <c r="R162" s="15"/>
      <c r="S162" s="15"/>
      <c r="T162" s="15"/>
      <c r="U162" s="15"/>
      <c r="V162" s="15">
        <v>48</v>
      </c>
      <c r="W162" s="60" t="s">
        <v>1699</v>
      </c>
    </row>
    <row r="163" spans="1:23" ht="38.25" x14ac:dyDescent="0.2">
      <c r="A163" s="1" t="s">
        <v>258</v>
      </c>
      <c r="B163" s="2" t="s">
        <v>232</v>
      </c>
      <c r="C163" s="2" t="s">
        <v>259</v>
      </c>
      <c r="D163" s="2" t="s">
        <v>108</v>
      </c>
      <c r="E163" s="2">
        <v>2021</v>
      </c>
      <c r="F163" s="2" t="s">
        <v>1796</v>
      </c>
      <c r="G163" s="2" t="s">
        <v>1669</v>
      </c>
      <c r="H163" s="2" t="s">
        <v>1669</v>
      </c>
      <c r="I163" s="1" t="s">
        <v>1979</v>
      </c>
      <c r="J163" s="1" t="s">
        <v>1980</v>
      </c>
      <c r="L163" s="75" t="s">
        <v>1670</v>
      </c>
      <c r="M163" s="39"/>
      <c r="N163" s="39"/>
      <c r="O163" s="39"/>
      <c r="P163" s="39"/>
      <c r="Q163" s="39"/>
      <c r="R163" s="39"/>
      <c r="S163" s="39"/>
      <c r="T163" s="39"/>
      <c r="U163" s="39"/>
      <c r="V163" s="39">
        <v>61.5</v>
      </c>
      <c r="W163" s="60" t="s">
        <v>1699</v>
      </c>
    </row>
    <row r="164" spans="1:23" ht="127.5" x14ac:dyDescent="0.2">
      <c r="A164" s="1" t="s">
        <v>205</v>
      </c>
      <c r="B164" s="2" t="s">
        <v>196</v>
      </c>
      <c r="C164" s="2" t="s">
        <v>206</v>
      </c>
      <c r="D164" s="2" t="s">
        <v>121</v>
      </c>
      <c r="E164" s="2">
        <v>2021</v>
      </c>
      <c r="F164" s="2" t="s">
        <v>1794</v>
      </c>
      <c r="G164" s="2" t="s">
        <v>1669</v>
      </c>
      <c r="H164" s="2" t="s">
        <v>1669</v>
      </c>
      <c r="I164" s="1" t="s">
        <v>1981</v>
      </c>
      <c r="J164" s="1" t="s">
        <v>1982</v>
      </c>
      <c r="L164" s="53">
        <v>0.23400000000000001</v>
      </c>
      <c r="M164" s="39"/>
      <c r="N164" s="39"/>
      <c r="O164" s="39">
        <v>294.51</v>
      </c>
      <c r="P164" s="39"/>
      <c r="Q164" s="39"/>
      <c r="R164" s="39"/>
      <c r="S164" s="39"/>
      <c r="T164" s="39"/>
      <c r="U164" s="39"/>
      <c r="V164" s="39"/>
      <c r="W164" s="60"/>
    </row>
    <row r="165" spans="1:23" ht="25.5" x14ac:dyDescent="0.2">
      <c r="A165" s="1" t="s">
        <v>409</v>
      </c>
      <c r="B165" s="2" t="s">
        <v>32</v>
      </c>
      <c r="C165" s="2" t="s">
        <v>410</v>
      </c>
      <c r="D165" s="2" t="s">
        <v>243</v>
      </c>
      <c r="E165" s="2">
        <v>2021</v>
      </c>
      <c r="F165" s="2" t="s">
        <v>1776</v>
      </c>
      <c r="G165" s="2" t="s">
        <v>1667</v>
      </c>
      <c r="H165" s="2" t="s">
        <v>1669</v>
      </c>
      <c r="I165" s="1" t="s">
        <v>14</v>
      </c>
      <c r="J165" s="1" t="s">
        <v>1983</v>
      </c>
      <c r="L165" s="53">
        <v>0.55000000000000004</v>
      </c>
      <c r="M165" s="39"/>
      <c r="N165" s="39"/>
      <c r="O165" s="39"/>
      <c r="P165" s="39"/>
      <c r="Q165" s="39"/>
      <c r="R165" s="39">
        <v>36</v>
      </c>
      <c r="S165" s="39"/>
      <c r="T165" s="39"/>
      <c r="U165" s="39"/>
      <c r="V165" s="39"/>
      <c r="W165" s="60" t="s">
        <v>1984</v>
      </c>
    </row>
    <row r="166" spans="1:23" ht="38.25" x14ac:dyDescent="0.2">
      <c r="A166" s="1" t="s">
        <v>409</v>
      </c>
      <c r="B166" s="2" t="s">
        <v>32</v>
      </c>
      <c r="C166" s="2" t="s">
        <v>410</v>
      </c>
      <c r="D166" s="2" t="s">
        <v>243</v>
      </c>
      <c r="E166" s="2">
        <v>2021</v>
      </c>
      <c r="F166" s="2" t="s">
        <v>1779</v>
      </c>
      <c r="G166" s="2" t="s">
        <v>1667</v>
      </c>
      <c r="H166" s="2" t="s">
        <v>1669</v>
      </c>
      <c r="I166" s="1" t="s">
        <v>14</v>
      </c>
      <c r="J166" s="1" t="s">
        <v>1985</v>
      </c>
      <c r="L166" s="53">
        <v>0.6</v>
      </c>
      <c r="M166" s="39"/>
      <c r="N166" s="39"/>
      <c r="O166" s="39"/>
      <c r="P166" s="39"/>
      <c r="Q166" s="39"/>
      <c r="R166" s="39">
        <v>36</v>
      </c>
      <c r="S166" s="39"/>
      <c r="T166" s="39"/>
      <c r="U166" s="39"/>
      <c r="V166" s="39"/>
      <c r="W166" s="60" t="s">
        <v>1984</v>
      </c>
    </row>
    <row r="167" spans="1:23" ht="25.5" x14ac:dyDescent="0.2">
      <c r="A167" s="1" t="s">
        <v>409</v>
      </c>
      <c r="B167" s="2" t="s">
        <v>32</v>
      </c>
      <c r="C167" s="2" t="s">
        <v>410</v>
      </c>
      <c r="D167" s="2" t="s">
        <v>243</v>
      </c>
      <c r="E167" s="2">
        <v>2021</v>
      </c>
      <c r="F167" s="2" t="s">
        <v>1781</v>
      </c>
      <c r="G167" s="2" t="s">
        <v>1667</v>
      </c>
      <c r="H167" s="2" t="s">
        <v>1669</v>
      </c>
      <c r="I167" s="1" t="s">
        <v>14</v>
      </c>
      <c r="J167" s="1" t="s">
        <v>1986</v>
      </c>
      <c r="L167" s="53">
        <v>0.7</v>
      </c>
      <c r="M167" s="39"/>
      <c r="N167" s="39"/>
      <c r="O167" s="39"/>
      <c r="P167" s="39"/>
      <c r="Q167" s="39"/>
      <c r="R167" s="39">
        <v>12</v>
      </c>
      <c r="S167" s="39"/>
      <c r="T167" s="39"/>
      <c r="U167" s="39"/>
      <c r="V167" s="39"/>
      <c r="W167" s="60" t="s">
        <v>1984</v>
      </c>
    </row>
    <row r="168" spans="1:23" ht="25.5" x14ac:dyDescent="0.2">
      <c r="A168" s="1" t="s">
        <v>409</v>
      </c>
      <c r="B168" s="2" t="s">
        <v>32</v>
      </c>
      <c r="C168" s="2" t="s">
        <v>410</v>
      </c>
      <c r="D168" s="2" t="s">
        <v>243</v>
      </c>
      <c r="E168" s="2">
        <v>2021</v>
      </c>
      <c r="F168" s="2" t="s">
        <v>1789</v>
      </c>
      <c r="G168" s="2" t="s">
        <v>1667</v>
      </c>
      <c r="H168" s="2" t="s">
        <v>1669</v>
      </c>
      <c r="I168" s="1" t="s">
        <v>14</v>
      </c>
      <c r="J168" s="1" t="s">
        <v>1987</v>
      </c>
      <c r="L168" s="53">
        <v>0.6</v>
      </c>
      <c r="M168" s="39"/>
      <c r="N168" s="39"/>
      <c r="O168" s="39"/>
      <c r="P168" s="39"/>
      <c r="Q168" s="39"/>
      <c r="R168" s="39">
        <v>12</v>
      </c>
      <c r="S168" s="39"/>
      <c r="T168" s="39"/>
      <c r="U168" s="39"/>
      <c r="V168" s="39"/>
      <c r="W168" s="60"/>
    </row>
    <row r="169" spans="1:23" ht="51" x14ac:dyDescent="0.2">
      <c r="A169" s="1" t="s">
        <v>409</v>
      </c>
      <c r="B169" s="2" t="s">
        <v>32</v>
      </c>
      <c r="C169" s="2" t="s">
        <v>410</v>
      </c>
      <c r="D169" s="2" t="s">
        <v>243</v>
      </c>
      <c r="E169" s="2">
        <v>2021</v>
      </c>
      <c r="F169" s="2" t="s">
        <v>1796</v>
      </c>
      <c r="G169" s="2" t="s">
        <v>1667</v>
      </c>
      <c r="H169" s="2" t="s">
        <v>1669</v>
      </c>
      <c r="I169" s="1" t="s">
        <v>14</v>
      </c>
      <c r="J169" s="1" t="s">
        <v>1988</v>
      </c>
      <c r="L169" s="53">
        <v>0.3</v>
      </c>
      <c r="M169" s="39"/>
      <c r="N169" s="39"/>
      <c r="O169" s="39"/>
      <c r="P169" s="39"/>
      <c r="Q169" s="39"/>
      <c r="R169" s="39">
        <f>3600*0.004546*0.8</f>
        <v>13.092480000000002</v>
      </c>
      <c r="S169" s="39"/>
      <c r="T169" s="39"/>
      <c r="U169" s="39"/>
      <c r="V169" s="39"/>
      <c r="W169" s="60" t="s">
        <v>1989</v>
      </c>
    </row>
    <row r="170" spans="1:23" ht="76.5" x14ac:dyDescent="0.2">
      <c r="A170" s="1" t="s">
        <v>1990</v>
      </c>
      <c r="B170" s="2" t="s">
        <v>271</v>
      </c>
      <c r="C170" s="2" t="s">
        <v>1991</v>
      </c>
      <c r="D170" s="2" t="s">
        <v>1992</v>
      </c>
      <c r="E170" s="2">
        <v>2021</v>
      </c>
      <c r="F170" s="2" t="s">
        <v>1794</v>
      </c>
      <c r="G170" s="2" t="s">
        <v>1669</v>
      </c>
      <c r="H170" s="2" t="s">
        <v>1668</v>
      </c>
      <c r="I170" s="1" t="s">
        <v>1993</v>
      </c>
      <c r="J170" s="1" t="s">
        <v>14</v>
      </c>
      <c r="L170" s="53"/>
      <c r="M170" s="39"/>
      <c r="N170" s="39"/>
      <c r="O170" s="39"/>
      <c r="P170" s="39"/>
      <c r="Q170" s="39"/>
      <c r="R170" s="39"/>
      <c r="S170" s="39"/>
      <c r="T170" s="39"/>
      <c r="U170" s="39"/>
      <c r="V170" s="39"/>
      <c r="W170" s="60" t="s">
        <v>1693</v>
      </c>
    </row>
    <row r="171" spans="1:23" ht="25.5" x14ac:dyDescent="0.2">
      <c r="A171" s="1" t="s">
        <v>98</v>
      </c>
      <c r="B171" s="2" t="s">
        <v>24</v>
      </c>
      <c r="C171" s="2" t="s">
        <v>99</v>
      </c>
      <c r="D171" s="2" t="s">
        <v>100</v>
      </c>
      <c r="E171" s="2">
        <v>2021</v>
      </c>
      <c r="F171" s="2" t="s">
        <v>1776</v>
      </c>
      <c r="G171" s="2" t="s">
        <v>1667</v>
      </c>
      <c r="H171" s="2" t="s">
        <v>1669</v>
      </c>
      <c r="I171" s="1" t="s">
        <v>14</v>
      </c>
      <c r="J171" s="1" t="s">
        <v>1994</v>
      </c>
      <c r="L171" s="53" t="s">
        <v>1670</v>
      </c>
      <c r="M171" s="39"/>
      <c r="N171" s="39"/>
      <c r="O171" s="39">
        <v>146.51</v>
      </c>
      <c r="P171" s="39"/>
      <c r="Q171" s="39"/>
      <c r="R171" s="39"/>
      <c r="S171" s="39"/>
      <c r="T171" s="39"/>
      <c r="U171" s="39"/>
      <c r="V171" s="39"/>
      <c r="W171" s="60" t="s">
        <v>1742</v>
      </c>
    </row>
    <row r="172" spans="1:23" ht="25.5" x14ac:dyDescent="0.2">
      <c r="A172" s="1" t="s">
        <v>98</v>
      </c>
      <c r="B172" s="2" t="s">
        <v>24</v>
      </c>
      <c r="C172" s="2" t="s">
        <v>99</v>
      </c>
      <c r="D172" s="2" t="s">
        <v>100</v>
      </c>
      <c r="E172" s="2">
        <v>2021</v>
      </c>
      <c r="F172" s="2" t="s">
        <v>1779</v>
      </c>
      <c r="G172" s="2" t="s">
        <v>1667</v>
      </c>
      <c r="H172" s="2" t="s">
        <v>1669</v>
      </c>
      <c r="I172" s="1" t="s">
        <v>14</v>
      </c>
      <c r="J172" s="1" t="s">
        <v>1995</v>
      </c>
      <c r="L172" s="53" t="s">
        <v>1670</v>
      </c>
      <c r="M172" s="39"/>
      <c r="N172" s="39"/>
      <c r="O172" s="39">
        <v>143.46</v>
      </c>
      <c r="P172" s="39"/>
      <c r="Q172" s="39"/>
      <c r="R172" s="39"/>
      <c r="S172" s="39"/>
      <c r="T172" s="39"/>
      <c r="U172" s="39"/>
      <c r="V172" s="39"/>
      <c r="W172" s="60" t="s">
        <v>1742</v>
      </c>
    </row>
    <row r="173" spans="1:23" ht="25.5" x14ac:dyDescent="0.2">
      <c r="A173" s="1" t="s">
        <v>98</v>
      </c>
      <c r="B173" s="2" t="s">
        <v>24</v>
      </c>
      <c r="C173" s="2" t="s">
        <v>99</v>
      </c>
      <c r="D173" s="2" t="s">
        <v>100</v>
      </c>
      <c r="E173" s="2">
        <v>2021</v>
      </c>
      <c r="F173" s="2" t="s">
        <v>1781</v>
      </c>
      <c r="G173" s="2" t="s">
        <v>1667</v>
      </c>
      <c r="H173" s="2" t="s">
        <v>1669</v>
      </c>
      <c r="I173" s="1" t="s">
        <v>14</v>
      </c>
      <c r="J173" s="1" t="s">
        <v>1996</v>
      </c>
      <c r="L173" s="53" t="s">
        <v>1670</v>
      </c>
      <c r="M173" s="39"/>
      <c r="N173" s="39"/>
      <c r="O173" s="39">
        <v>132.08000000000001</v>
      </c>
      <c r="P173" s="39"/>
      <c r="Q173" s="39"/>
      <c r="R173" s="39"/>
      <c r="S173" s="39"/>
      <c r="T173" s="39"/>
      <c r="U173" s="39"/>
      <c r="V173" s="39"/>
      <c r="W173" s="60" t="s">
        <v>1742</v>
      </c>
    </row>
    <row r="174" spans="1:23" ht="25.5" x14ac:dyDescent="0.2">
      <c r="A174" s="1" t="s">
        <v>98</v>
      </c>
      <c r="B174" s="2" t="s">
        <v>24</v>
      </c>
      <c r="C174" s="2" t="s">
        <v>99</v>
      </c>
      <c r="D174" s="2" t="s">
        <v>100</v>
      </c>
      <c r="E174" s="2">
        <v>2021</v>
      </c>
      <c r="F174" s="2" t="s">
        <v>1783</v>
      </c>
      <c r="G174" s="2" t="s">
        <v>1667</v>
      </c>
      <c r="H174" s="2" t="s">
        <v>1669</v>
      </c>
      <c r="I174" s="1" t="s">
        <v>14</v>
      </c>
      <c r="J174" s="1" t="s">
        <v>1997</v>
      </c>
      <c r="L174" s="53">
        <v>0.29599999999999999</v>
      </c>
      <c r="M174" s="39"/>
      <c r="N174" s="39"/>
      <c r="O174" s="39">
        <v>129.19999999999999</v>
      </c>
      <c r="P174" s="39"/>
      <c r="Q174" s="39"/>
      <c r="R174" s="39"/>
      <c r="S174" s="39"/>
      <c r="T174" s="39"/>
      <c r="U174" s="39"/>
      <c r="V174" s="39"/>
      <c r="W174" s="60" t="s">
        <v>1742</v>
      </c>
    </row>
    <row r="175" spans="1:23" ht="25.5" x14ac:dyDescent="0.2">
      <c r="A175" s="1" t="s">
        <v>98</v>
      </c>
      <c r="B175" s="2" t="s">
        <v>24</v>
      </c>
      <c r="C175" s="2" t="s">
        <v>99</v>
      </c>
      <c r="D175" s="2" t="s">
        <v>100</v>
      </c>
      <c r="E175" s="2">
        <v>2021</v>
      </c>
      <c r="F175" s="2" t="s">
        <v>1785</v>
      </c>
      <c r="G175" s="2" t="s">
        <v>1667</v>
      </c>
      <c r="H175" s="2" t="s">
        <v>1669</v>
      </c>
      <c r="I175" s="1" t="s">
        <v>14</v>
      </c>
      <c r="J175" s="1" t="s">
        <v>1998</v>
      </c>
      <c r="L175" s="53" t="s">
        <v>1670</v>
      </c>
      <c r="M175" s="39"/>
      <c r="N175" s="39"/>
      <c r="O175" s="39">
        <v>212.5</v>
      </c>
      <c r="P175" s="39"/>
      <c r="Q175" s="39"/>
      <c r="R175" s="39"/>
      <c r="S175" s="39"/>
      <c r="T175" s="39"/>
      <c r="U175" s="39"/>
      <c r="V175" s="39"/>
      <c r="W175" s="60" t="s">
        <v>1742</v>
      </c>
    </row>
    <row r="176" spans="1:23" ht="25.5" x14ac:dyDescent="0.2">
      <c r="A176" s="1" t="s">
        <v>98</v>
      </c>
      <c r="B176" s="2" t="s">
        <v>24</v>
      </c>
      <c r="C176" s="2" t="s">
        <v>99</v>
      </c>
      <c r="D176" s="2" t="s">
        <v>100</v>
      </c>
      <c r="E176" s="2">
        <v>2021</v>
      </c>
      <c r="F176" s="2" t="s">
        <v>1787</v>
      </c>
      <c r="G176" s="2" t="s">
        <v>1667</v>
      </c>
      <c r="H176" s="2" t="s">
        <v>1669</v>
      </c>
      <c r="I176" s="1" t="s">
        <v>14</v>
      </c>
      <c r="J176" s="1" t="s">
        <v>1999</v>
      </c>
      <c r="L176" s="53">
        <v>0.245</v>
      </c>
      <c r="M176" s="39"/>
      <c r="N176" s="39"/>
      <c r="O176" s="39">
        <v>284.89</v>
      </c>
      <c r="P176" s="39"/>
      <c r="Q176" s="39"/>
      <c r="R176" s="39"/>
      <c r="S176" s="39"/>
      <c r="T176" s="39"/>
      <c r="U176" s="39"/>
      <c r="V176" s="39"/>
      <c r="W176" s="60" t="s">
        <v>1742</v>
      </c>
    </row>
    <row r="177" spans="1:23" ht="63.75" x14ac:dyDescent="0.2">
      <c r="A177" s="1" t="s">
        <v>98</v>
      </c>
      <c r="B177" s="2" t="s">
        <v>24</v>
      </c>
      <c r="C177" s="2" t="s">
        <v>99</v>
      </c>
      <c r="D177" s="2" t="s">
        <v>100</v>
      </c>
      <c r="E177" s="2">
        <v>2021</v>
      </c>
      <c r="F177" s="2" t="s">
        <v>1789</v>
      </c>
      <c r="G177" s="2" t="s">
        <v>1667</v>
      </c>
      <c r="H177" s="2" t="s">
        <v>1669</v>
      </c>
      <c r="I177" s="1" t="s">
        <v>14</v>
      </c>
      <c r="J177" s="1" t="s">
        <v>2000</v>
      </c>
      <c r="L177" s="53">
        <v>0.253</v>
      </c>
      <c r="M177" s="39"/>
      <c r="N177" s="39"/>
      <c r="O177" s="39">
        <v>259.29000000000002</v>
      </c>
      <c r="P177" s="39"/>
      <c r="Q177" s="39"/>
      <c r="R177" s="39"/>
      <c r="S177" s="39"/>
      <c r="T177" s="39"/>
      <c r="U177" s="39"/>
      <c r="V177" s="39"/>
      <c r="W177" s="60" t="s">
        <v>1742</v>
      </c>
    </row>
    <row r="178" spans="1:23" ht="25.5" x14ac:dyDescent="0.2">
      <c r="A178" s="1" t="s">
        <v>98</v>
      </c>
      <c r="B178" s="2" t="s">
        <v>24</v>
      </c>
      <c r="C178" s="2" t="s">
        <v>99</v>
      </c>
      <c r="D178" s="2" t="s">
        <v>100</v>
      </c>
      <c r="E178" s="2">
        <v>2021</v>
      </c>
      <c r="F178" s="2" t="s">
        <v>1791</v>
      </c>
      <c r="G178" s="2" t="s">
        <v>1667</v>
      </c>
      <c r="H178" s="2" t="s">
        <v>1669</v>
      </c>
      <c r="I178" s="1" t="s">
        <v>14</v>
      </c>
      <c r="J178" s="1" t="s">
        <v>2001</v>
      </c>
      <c r="L178" s="53" t="s">
        <v>1670</v>
      </c>
      <c r="M178" s="39"/>
      <c r="N178" s="39"/>
      <c r="O178" s="39">
        <v>232.32</v>
      </c>
      <c r="P178" s="39"/>
      <c r="Q178" s="39"/>
      <c r="R178" s="39"/>
      <c r="S178" s="39"/>
      <c r="T178" s="39"/>
      <c r="U178" s="39"/>
      <c r="V178" s="39"/>
      <c r="W178" s="60" t="s">
        <v>1742</v>
      </c>
    </row>
    <row r="179" spans="1:23" ht="25.5" x14ac:dyDescent="0.2">
      <c r="A179" s="1" t="s">
        <v>98</v>
      </c>
      <c r="B179" s="2" t="s">
        <v>24</v>
      </c>
      <c r="C179" s="2" t="s">
        <v>99</v>
      </c>
      <c r="D179" s="2" t="s">
        <v>100</v>
      </c>
      <c r="E179" s="2">
        <v>2021</v>
      </c>
      <c r="F179" s="2" t="s">
        <v>311</v>
      </c>
      <c r="G179" s="2" t="s">
        <v>1667</v>
      </c>
      <c r="H179" s="2" t="s">
        <v>1669</v>
      </c>
      <c r="I179" s="1" t="s">
        <v>14</v>
      </c>
      <c r="J179" s="1" t="s">
        <v>2002</v>
      </c>
      <c r="L179" s="53" t="s">
        <v>1670</v>
      </c>
      <c r="M179" s="39"/>
      <c r="N179" s="39"/>
      <c r="O179" s="39">
        <v>245.89</v>
      </c>
      <c r="P179" s="39"/>
      <c r="Q179" s="39"/>
      <c r="R179" s="39"/>
      <c r="S179" s="39"/>
      <c r="T179" s="39"/>
      <c r="U179" s="39"/>
      <c r="V179" s="39"/>
      <c r="W179" s="60" t="s">
        <v>1742</v>
      </c>
    </row>
    <row r="180" spans="1:23" ht="25.5" x14ac:dyDescent="0.2">
      <c r="A180" s="1" t="s">
        <v>98</v>
      </c>
      <c r="B180" s="2" t="s">
        <v>24</v>
      </c>
      <c r="C180" s="2" t="s">
        <v>99</v>
      </c>
      <c r="D180" s="2" t="s">
        <v>100</v>
      </c>
      <c r="E180" s="2">
        <v>2021</v>
      </c>
      <c r="F180" s="2" t="s">
        <v>1796</v>
      </c>
      <c r="G180" s="2" t="s">
        <v>1667</v>
      </c>
      <c r="H180" s="2" t="s">
        <v>1669</v>
      </c>
      <c r="I180" s="1" t="s">
        <v>14</v>
      </c>
      <c r="J180" s="1" t="s">
        <v>2003</v>
      </c>
      <c r="L180" s="53" t="s">
        <v>1670</v>
      </c>
      <c r="M180" s="39"/>
      <c r="N180" s="39"/>
      <c r="O180" s="39">
        <v>259.56</v>
      </c>
      <c r="P180" s="39"/>
      <c r="Q180" s="39"/>
      <c r="R180" s="39"/>
      <c r="S180" s="39"/>
      <c r="T180" s="39"/>
      <c r="U180" s="39"/>
      <c r="V180" s="39"/>
      <c r="W180" s="60" t="s">
        <v>1742</v>
      </c>
    </row>
    <row r="181" spans="1:23" ht="25.5" x14ac:dyDescent="0.2">
      <c r="A181" s="1" t="s">
        <v>98</v>
      </c>
      <c r="B181" s="2" t="s">
        <v>24</v>
      </c>
      <c r="C181" s="2" t="s">
        <v>99</v>
      </c>
      <c r="D181" s="2" t="s">
        <v>100</v>
      </c>
      <c r="E181" s="2">
        <v>2021</v>
      </c>
      <c r="F181" s="2" t="s">
        <v>1798</v>
      </c>
      <c r="G181" s="2" t="s">
        <v>1667</v>
      </c>
      <c r="H181" s="2" t="s">
        <v>1669</v>
      </c>
      <c r="I181" s="1" t="s">
        <v>14</v>
      </c>
      <c r="J181" s="1" t="s">
        <v>2004</v>
      </c>
      <c r="L181" s="53" t="s">
        <v>1670</v>
      </c>
      <c r="M181" s="39"/>
      <c r="N181" s="39"/>
      <c r="O181" s="39">
        <v>161.13999999999999</v>
      </c>
      <c r="P181" s="39"/>
      <c r="Q181" s="39"/>
      <c r="R181" s="39"/>
      <c r="S181" s="39"/>
      <c r="T181" s="39"/>
      <c r="U181" s="39"/>
      <c r="V181" s="39"/>
      <c r="W181" s="60" t="s">
        <v>1742</v>
      </c>
    </row>
    <row r="182" spans="1:23" ht="204" x14ac:dyDescent="0.2">
      <c r="A182" s="1" t="s">
        <v>353</v>
      </c>
      <c r="B182" s="2" t="s">
        <v>340</v>
      </c>
      <c r="C182" s="2" t="s">
        <v>354</v>
      </c>
      <c r="D182" s="2" t="s">
        <v>234</v>
      </c>
      <c r="E182" s="2">
        <v>2021</v>
      </c>
      <c r="F182" s="2" t="s">
        <v>1776</v>
      </c>
      <c r="G182" s="2" t="s">
        <v>1667</v>
      </c>
      <c r="H182" s="2" t="s">
        <v>1669</v>
      </c>
      <c r="I182" s="1" t="s">
        <v>14</v>
      </c>
      <c r="J182" s="1" t="s">
        <v>2005</v>
      </c>
      <c r="L182" s="53">
        <v>4.1000000000000002E-2</v>
      </c>
      <c r="M182" s="39">
        <f>8+12</f>
        <v>20</v>
      </c>
      <c r="N182" s="39"/>
      <c r="O182" s="39"/>
      <c r="P182" s="39"/>
      <c r="Q182" s="39"/>
      <c r="R182" s="39"/>
      <c r="S182" s="39"/>
      <c r="T182" s="39"/>
      <c r="U182" s="39"/>
      <c r="V182" s="39"/>
      <c r="W182" s="60" t="s">
        <v>1767</v>
      </c>
    </row>
    <row r="183" spans="1:23" ht="178.5" x14ac:dyDescent="0.2">
      <c r="A183" s="1" t="s">
        <v>353</v>
      </c>
      <c r="B183" s="2" t="s">
        <v>340</v>
      </c>
      <c r="C183" s="2" t="s">
        <v>354</v>
      </c>
      <c r="D183" s="2" t="s">
        <v>234</v>
      </c>
      <c r="E183" s="2">
        <v>2021</v>
      </c>
      <c r="F183" s="2" t="s">
        <v>1779</v>
      </c>
      <c r="G183" s="2" t="s">
        <v>1667</v>
      </c>
      <c r="H183" s="2" t="s">
        <v>1669</v>
      </c>
      <c r="I183" s="1" t="s">
        <v>14</v>
      </c>
      <c r="J183" s="1" t="s">
        <v>2006</v>
      </c>
      <c r="L183" s="53">
        <v>6.6000000000000003E-2</v>
      </c>
      <c r="M183" s="39">
        <f>12+31+23</f>
        <v>66</v>
      </c>
      <c r="N183" s="39"/>
      <c r="O183" s="39"/>
      <c r="P183" s="39"/>
      <c r="Q183" s="39"/>
      <c r="R183" s="39"/>
      <c r="S183" s="39"/>
      <c r="T183" s="39"/>
      <c r="U183" s="39"/>
      <c r="V183" s="39"/>
      <c r="W183" s="60" t="s">
        <v>1767</v>
      </c>
    </row>
    <row r="184" spans="1:23" ht="178.5" x14ac:dyDescent="0.2">
      <c r="A184" s="1" t="s">
        <v>353</v>
      </c>
      <c r="B184" s="2" t="s">
        <v>340</v>
      </c>
      <c r="C184" s="2" t="s">
        <v>354</v>
      </c>
      <c r="D184" s="2" t="s">
        <v>234</v>
      </c>
      <c r="E184" s="2">
        <v>2021</v>
      </c>
      <c r="F184" s="2" t="s">
        <v>1781</v>
      </c>
      <c r="G184" s="2" t="s">
        <v>1667</v>
      </c>
      <c r="H184" s="2" t="s">
        <v>1669</v>
      </c>
      <c r="I184" s="1" t="s">
        <v>14</v>
      </c>
      <c r="J184" s="1" t="s">
        <v>2007</v>
      </c>
      <c r="L184" s="53">
        <v>4.4999999999999998E-2</v>
      </c>
      <c r="M184" s="39">
        <f>10+10+10+16</f>
        <v>46</v>
      </c>
      <c r="N184" s="39"/>
      <c r="O184" s="39"/>
      <c r="P184" s="39"/>
      <c r="Q184" s="39"/>
      <c r="R184" s="39"/>
      <c r="S184" s="39"/>
      <c r="T184" s="39"/>
      <c r="U184" s="39"/>
      <c r="V184" s="39"/>
      <c r="W184" s="60" t="s">
        <v>1767</v>
      </c>
    </row>
    <row r="185" spans="1:23" ht="89.25" x14ac:dyDescent="0.2">
      <c r="A185" s="1" t="s">
        <v>353</v>
      </c>
      <c r="B185" s="2" t="s">
        <v>340</v>
      </c>
      <c r="C185" s="2" t="s">
        <v>354</v>
      </c>
      <c r="D185" s="2" t="s">
        <v>234</v>
      </c>
      <c r="E185" s="2">
        <v>2021</v>
      </c>
      <c r="F185" s="2" t="s">
        <v>1783</v>
      </c>
      <c r="G185" s="2" t="s">
        <v>1667</v>
      </c>
      <c r="H185" s="2" t="s">
        <v>1669</v>
      </c>
      <c r="I185" s="1" t="s">
        <v>14</v>
      </c>
      <c r="J185" s="1" t="s">
        <v>2008</v>
      </c>
      <c r="L185" s="53">
        <v>6.5000000000000002E-2</v>
      </c>
      <c r="M185" s="39">
        <f>29+42</f>
        <v>71</v>
      </c>
      <c r="N185" s="39"/>
      <c r="O185" s="39"/>
      <c r="P185" s="39"/>
      <c r="Q185" s="39"/>
      <c r="R185" s="39"/>
      <c r="S185" s="39"/>
      <c r="T185" s="39"/>
      <c r="U185" s="39"/>
      <c r="V185" s="39"/>
      <c r="W185" s="60" t="s">
        <v>1767</v>
      </c>
    </row>
    <row r="186" spans="1:23" ht="89.25" x14ac:dyDescent="0.2">
      <c r="A186" s="1" t="s">
        <v>353</v>
      </c>
      <c r="B186" s="2" t="s">
        <v>340</v>
      </c>
      <c r="C186" s="2" t="s">
        <v>354</v>
      </c>
      <c r="D186" s="2" t="s">
        <v>234</v>
      </c>
      <c r="E186" s="2">
        <v>2021</v>
      </c>
      <c r="F186" s="2" t="s">
        <v>1785</v>
      </c>
      <c r="G186" s="2" t="s">
        <v>1667</v>
      </c>
      <c r="H186" s="2" t="s">
        <v>1669</v>
      </c>
      <c r="I186" s="1" t="s">
        <v>14</v>
      </c>
      <c r="J186" s="1" t="s">
        <v>2009</v>
      </c>
      <c r="L186" s="53">
        <v>4.7E-2</v>
      </c>
      <c r="M186" s="39">
        <v>10</v>
      </c>
      <c r="N186" s="39"/>
      <c r="O186" s="39"/>
      <c r="P186" s="39"/>
      <c r="Q186" s="39"/>
      <c r="R186" s="39"/>
      <c r="S186" s="39"/>
      <c r="T186" s="39"/>
      <c r="U186" s="39"/>
      <c r="V186" s="39"/>
      <c r="W186" s="60" t="s">
        <v>1767</v>
      </c>
    </row>
    <row r="187" spans="1:23" ht="178.5" x14ac:dyDescent="0.2">
      <c r="A187" s="1" t="s">
        <v>353</v>
      </c>
      <c r="B187" s="2" t="s">
        <v>340</v>
      </c>
      <c r="C187" s="2" t="s">
        <v>354</v>
      </c>
      <c r="D187" s="2" t="s">
        <v>234</v>
      </c>
      <c r="E187" s="2">
        <v>2021</v>
      </c>
      <c r="F187" s="2" t="s">
        <v>1787</v>
      </c>
      <c r="G187" s="2" t="s">
        <v>1667</v>
      </c>
      <c r="H187" s="2" t="s">
        <v>1669</v>
      </c>
      <c r="I187" s="1" t="s">
        <v>14</v>
      </c>
      <c r="J187" s="1" t="s">
        <v>2010</v>
      </c>
      <c r="L187" s="53">
        <v>4.5999999999999999E-2</v>
      </c>
      <c r="M187" s="39">
        <f>31+25+23+35</f>
        <v>114</v>
      </c>
      <c r="N187" s="39"/>
      <c r="O187" s="39"/>
      <c r="P187" s="39"/>
      <c r="Q187" s="39"/>
      <c r="R187" s="39"/>
      <c r="S187" s="39"/>
      <c r="T187" s="39"/>
      <c r="U187" s="39"/>
      <c r="V187" s="39"/>
      <c r="W187" s="60" t="s">
        <v>1767</v>
      </c>
    </row>
    <row r="188" spans="1:23" ht="204" x14ac:dyDescent="0.2">
      <c r="A188" s="1" t="s">
        <v>353</v>
      </c>
      <c r="B188" s="2" t="s">
        <v>340</v>
      </c>
      <c r="C188" s="2" t="s">
        <v>354</v>
      </c>
      <c r="D188" s="2" t="s">
        <v>234</v>
      </c>
      <c r="E188" s="2">
        <v>2021</v>
      </c>
      <c r="F188" s="2" t="s">
        <v>1789</v>
      </c>
      <c r="G188" s="2" t="s">
        <v>1667</v>
      </c>
      <c r="H188" s="2" t="s">
        <v>1669</v>
      </c>
      <c r="I188" s="1" t="s">
        <v>14</v>
      </c>
      <c r="J188" s="1" t="s">
        <v>2011</v>
      </c>
      <c r="L188" s="53">
        <v>5.8000000000000003E-2</v>
      </c>
      <c r="M188" s="39">
        <f>27+34+36+7</f>
        <v>104</v>
      </c>
      <c r="N188" s="39"/>
      <c r="O188" s="39"/>
      <c r="P188" s="39"/>
      <c r="Q188" s="39"/>
      <c r="R188" s="39"/>
      <c r="S188" s="39"/>
      <c r="T188" s="39"/>
      <c r="U188" s="39"/>
      <c r="V188" s="39"/>
      <c r="W188" s="60" t="s">
        <v>1767</v>
      </c>
    </row>
    <row r="189" spans="1:23" ht="153" x14ac:dyDescent="0.2">
      <c r="A189" s="1" t="s">
        <v>353</v>
      </c>
      <c r="B189" s="2" t="s">
        <v>340</v>
      </c>
      <c r="C189" s="2" t="s">
        <v>354</v>
      </c>
      <c r="D189" s="2" t="s">
        <v>234</v>
      </c>
      <c r="E189" s="2">
        <v>2021</v>
      </c>
      <c r="F189" s="2" t="s">
        <v>1791</v>
      </c>
      <c r="G189" s="2" t="s">
        <v>1667</v>
      </c>
      <c r="H189" s="2" t="s">
        <v>1669</v>
      </c>
      <c r="I189" s="1" t="s">
        <v>14</v>
      </c>
      <c r="J189" s="1" t="s">
        <v>2012</v>
      </c>
      <c r="L189" s="53">
        <v>2.5000000000000001E-2</v>
      </c>
      <c r="M189" s="39">
        <f>8+29+46+23+18</f>
        <v>124</v>
      </c>
      <c r="N189" s="39"/>
      <c r="O189" s="39"/>
      <c r="P189" s="39"/>
      <c r="Q189" s="39"/>
      <c r="R189" s="39"/>
      <c r="S189" s="39"/>
      <c r="T189" s="39"/>
      <c r="U189" s="39"/>
      <c r="V189" s="39"/>
      <c r="W189" s="60" t="s">
        <v>1767</v>
      </c>
    </row>
    <row r="190" spans="1:23" ht="178.5" x14ac:dyDescent="0.2">
      <c r="A190" s="1" t="s">
        <v>353</v>
      </c>
      <c r="B190" s="2" t="s">
        <v>340</v>
      </c>
      <c r="C190" s="2" t="s">
        <v>354</v>
      </c>
      <c r="D190" s="2" t="s">
        <v>234</v>
      </c>
      <c r="E190" s="2">
        <v>2021</v>
      </c>
      <c r="F190" s="2" t="s">
        <v>311</v>
      </c>
      <c r="G190" s="2" t="s">
        <v>1667</v>
      </c>
      <c r="H190" s="2" t="s">
        <v>1669</v>
      </c>
      <c r="I190" s="1" t="s">
        <v>14</v>
      </c>
      <c r="J190" s="1" t="s">
        <v>2013</v>
      </c>
      <c r="L190" s="53">
        <v>6.7000000000000004E-2</v>
      </c>
      <c r="M190" s="39">
        <f>23+19+38+53+29</f>
        <v>162</v>
      </c>
      <c r="N190" s="39"/>
      <c r="O190" s="39"/>
      <c r="P190" s="39"/>
      <c r="Q190" s="39"/>
      <c r="R190" s="39"/>
      <c r="S190" s="39"/>
      <c r="T190" s="39"/>
      <c r="U190" s="39"/>
      <c r="V190" s="39"/>
      <c r="W190" s="60" t="s">
        <v>1767</v>
      </c>
    </row>
    <row r="191" spans="1:23" ht="191.25" x14ac:dyDescent="0.2">
      <c r="A191" s="1" t="s">
        <v>353</v>
      </c>
      <c r="B191" s="2" t="s">
        <v>340</v>
      </c>
      <c r="C191" s="2" t="s">
        <v>354</v>
      </c>
      <c r="D191" s="2" t="s">
        <v>234</v>
      </c>
      <c r="E191" s="2">
        <v>2021</v>
      </c>
      <c r="F191" s="2" t="s">
        <v>1794</v>
      </c>
      <c r="G191" s="2" t="s">
        <v>1667</v>
      </c>
      <c r="H191" s="2" t="s">
        <v>1669</v>
      </c>
      <c r="I191" s="1" t="s">
        <v>14</v>
      </c>
      <c r="J191" s="1" t="s">
        <v>2014</v>
      </c>
      <c r="L191" s="53">
        <v>1.7999999999999999E-2</v>
      </c>
      <c r="M191" s="39">
        <f>26+22+23+29</f>
        <v>100</v>
      </c>
      <c r="N191" s="39"/>
      <c r="O191" s="39"/>
      <c r="P191" s="39"/>
      <c r="Q191" s="39"/>
      <c r="R191" s="39"/>
      <c r="S191" s="39"/>
      <c r="T191" s="39"/>
      <c r="U191" s="39"/>
      <c r="V191" s="39"/>
      <c r="W191" s="60" t="s">
        <v>1767</v>
      </c>
    </row>
    <row r="192" spans="1:23" ht="178.5" x14ac:dyDescent="0.2">
      <c r="A192" s="1" t="s">
        <v>353</v>
      </c>
      <c r="B192" s="2" t="s">
        <v>340</v>
      </c>
      <c r="C192" s="2" t="s">
        <v>354</v>
      </c>
      <c r="D192" s="2" t="s">
        <v>234</v>
      </c>
      <c r="E192" s="2">
        <v>2021</v>
      </c>
      <c r="F192" s="2" t="s">
        <v>1796</v>
      </c>
      <c r="G192" s="2" t="s">
        <v>1667</v>
      </c>
      <c r="H192" s="2" t="s">
        <v>1669</v>
      </c>
      <c r="I192" s="1" t="s">
        <v>14</v>
      </c>
      <c r="J192" s="1" t="s">
        <v>2015</v>
      </c>
      <c r="L192" s="53">
        <v>6.0999999999999999E-2</v>
      </c>
      <c r="M192" s="39">
        <f>23+28+25+52+31</f>
        <v>159</v>
      </c>
      <c r="N192" s="39"/>
      <c r="O192" s="39"/>
      <c r="P192" s="39"/>
      <c r="Q192" s="39"/>
      <c r="R192" s="39"/>
      <c r="S192" s="39"/>
      <c r="T192" s="39"/>
      <c r="U192" s="39"/>
      <c r="V192" s="39"/>
      <c r="W192" s="60" t="s">
        <v>1767</v>
      </c>
    </row>
    <row r="193" spans="1:23" ht="178.5" x14ac:dyDescent="0.2">
      <c r="A193" s="1" t="s">
        <v>353</v>
      </c>
      <c r="B193" s="2" t="s">
        <v>340</v>
      </c>
      <c r="C193" s="2" t="s">
        <v>354</v>
      </c>
      <c r="D193" s="2" t="s">
        <v>234</v>
      </c>
      <c r="E193" s="2">
        <v>2021</v>
      </c>
      <c r="F193" s="2" t="s">
        <v>1798</v>
      </c>
      <c r="G193" s="2" t="s">
        <v>1667</v>
      </c>
      <c r="H193" s="2" t="s">
        <v>1669</v>
      </c>
      <c r="I193" s="1" t="s">
        <v>14</v>
      </c>
      <c r="J193" s="1" t="s">
        <v>2016</v>
      </c>
      <c r="L193" s="53">
        <v>1.6E-2</v>
      </c>
      <c r="M193" s="39">
        <f>31+19+20+29+21</f>
        <v>120</v>
      </c>
      <c r="N193" s="39"/>
      <c r="O193" s="39"/>
      <c r="P193" s="39"/>
      <c r="Q193" s="39"/>
      <c r="R193" s="39"/>
      <c r="S193" s="39"/>
      <c r="T193" s="39"/>
      <c r="U193" s="39"/>
      <c r="V193" s="39"/>
      <c r="W193" s="60" t="s">
        <v>1767</v>
      </c>
    </row>
    <row r="194" spans="1:23" ht="25.5" x14ac:dyDescent="0.2">
      <c r="A194" s="1" t="s">
        <v>1096</v>
      </c>
      <c r="B194" s="2" t="s">
        <v>213</v>
      </c>
      <c r="C194" s="2" t="s">
        <v>344</v>
      </c>
      <c r="D194" s="2" t="s">
        <v>187</v>
      </c>
      <c r="E194" s="2">
        <v>2021</v>
      </c>
      <c r="F194" s="2" t="s">
        <v>1776</v>
      </c>
      <c r="G194" s="2" t="s">
        <v>1667</v>
      </c>
      <c r="H194" s="2" t="s">
        <v>1669</v>
      </c>
      <c r="I194" s="1" t="s">
        <v>14</v>
      </c>
      <c r="J194" s="1" t="s">
        <v>2017</v>
      </c>
      <c r="L194" s="53" t="s">
        <v>1670</v>
      </c>
      <c r="M194" s="39"/>
      <c r="N194" s="39"/>
      <c r="O194" s="39"/>
      <c r="P194" s="39"/>
      <c r="Q194" s="39"/>
      <c r="R194" s="39"/>
      <c r="S194" s="39"/>
      <c r="T194" s="39"/>
      <c r="U194" s="39"/>
      <c r="V194" s="39"/>
      <c r="W194" s="60" t="s">
        <v>1683</v>
      </c>
    </row>
    <row r="195" spans="1:23" ht="25.5" x14ac:dyDescent="0.2">
      <c r="A195" s="1" t="s">
        <v>1096</v>
      </c>
      <c r="B195" s="2" t="s">
        <v>213</v>
      </c>
      <c r="C195" s="2" t="s">
        <v>344</v>
      </c>
      <c r="D195" s="2" t="s">
        <v>187</v>
      </c>
      <c r="E195" s="2">
        <v>2021</v>
      </c>
      <c r="F195" s="2" t="s">
        <v>1781</v>
      </c>
      <c r="G195" s="2" t="s">
        <v>1667</v>
      </c>
      <c r="H195" s="2" t="s">
        <v>1669</v>
      </c>
      <c r="I195" s="1" t="s">
        <v>14</v>
      </c>
      <c r="J195" s="1" t="s">
        <v>2018</v>
      </c>
      <c r="L195" s="53" t="s">
        <v>1670</v>
      </c>
      <c r="M195" s="39"/>
      <c r="N195" s="39"/>
      <c r="O195" s="39"/>
      <c r="P195" s="39"/>
      <c r="Q195" s="39"/>
      <c r="R195" s="39"/>
      <c r="S195" s="39"/>
      <c r="T195" s="39"/>
      <c r="U195" s="39"/>
      <c r="V195" s="39"/>
      <c r="W195" s="60" t="s">
        <v>1683</v>
      </c>
    </row>
    <row r="196" spans="1:23" ht="25.5" x14ac:dyDescent="0.2">
      <c r="A196" s="1" t="s">
        <v>1096</v>
      </c>
      <c r="B196" s="2" t="s">
        <v>213</v>
      </c>
      <c r="C196" s="2" t="s">
        <v>344</v>
      </c>
      <c r="D196" s="2" t="s">
        <v>187</v>
      </c>
      <c r="E196" s="2">
        <v>2021</v>
      </c>
      <c r="F196" s="2" t="s">
        <v>1787</v>
      </c>
      <c r="G196" s="2" t="s">
        <v>1667</v>
      </c>
      <c r="H196" s="2" t="s">
        <v>1669</v>
      </c>
      <c r="I196" s="1" t="s">
        <v>14</v>
      </c>
      <c r="J196" s="1" t="s">
        <v>2019</v>
      </c>
      <c r="L196" s="53" t="s">
        <v>1670</v>
      </c>
      <c r="M196" s="39"/>
      <c r="N196" s="39"/>
      <c r="O196" s="39"/>
      <c r="P196" s="39"/>
      <c r="Q196" s="39"/>
      <c r="R196" s="39"/>
      <c r="S196" s="39"/>
      <c r="T196" s="39"/>
      <c r="U196" s="39"/>
      <c r="V196" s="39"/>
      <c r="W196" s="60" t="s">
        <v>1683</v>
      </c>
    </row>
    <row r="197" spans="1:23" ht="25.5" x14ac:dyDescent="0.2">
      <c r="A197" s="1" t="s">
        <v>1096</v>
      </c>
      <c r="B197" s="2" t="s">
        <v>213</v>
      </c>
      <c r="C197" s="2" t="s">
        <v>344</v>
      </c>
      <c r="D197" s="2" t="s">
        <v>187</v>
      </c>
      <c r="E197" s="2">
        <v>2021</v>
      </c>
      <c r="F197" s="2" t="s">
        <v>1789</v>
      </c>
      <c r="G197" s="2" t="s">
        <v>1667</v>
      </c>
      <c r="H197" s="2" t="s">
        <v>1669</v>
      </c>
      <c r="I197" s="1" t="s">
        <v>14</v>
      </c>
      <c r="J197" s="1" t="s">
        <v>2020</v>
      </c>
      <c r="L197" s="53" t="s">
        <v>1670</v>
      </c>
      <c r="M197" s="39"/>
      <c r="N197" s="39"/>
      <c r="O197" s="39"/>
      <c r="P197" s="39"/>
      <c r="Q197" s="39"/>
      <c r="R197" s="39"/>
      <c r="S197" s="39"/>
      <c r="T197" s="39"/>
      <c r="U197" s="39"/>
      <c r="V197" s="39"/>
      <c r="W197" s="60" t="s">
        <v>1683</v>
      </c>
    </row>
    <row r="198" spans="1:23" ht="25.5" x14ac:dyDescent="0.2">
      <c r="A198" s="1" t="s">
        <v>1096</v>
      </c>
      <c r="B198" s="2" t="s">
        <v>213</v>
      </c>
      <c r="C198" s="2" t="s">
        <v>344</v>
      </c>
      <c r="D198" s="2" t="s">
        <v>187</v>
      </c>
      <c r="E198" s="2">
        <v>2021</v>
      </c>
      <c r="F198" s="2" t="s">
        <v>311</v>
      </c>
      <c r="G198" s="2" t="s">
        <v>1667</v>
      </c>
      <c r="H198" s="2" t="s">
        <v>1669</v>
      </c>
      <c r="I198" s="1" t="s">
        <v>14</v>
      </c>
      <c r="J198" s="1" t="s">
        <v>2021</v>
      </c>
      <c r="L198" s="53" t="s">
        <v>1670</v>
      </c>
      <c r="M198" s="39"/>
      <c r="N198" s="39"/>
      <c r="O198" s="39"/>
      <c r="P198" s="39"/>
      <c r="Q198" s="39"/>
      <c r="R198" s="39"/>
      <c r="S198" s="39"/>
      <c r="T198" s="39"/>
      <c r="U198" s="39"/>
      <c r="V198" s="39"/>
      <c r="W198" s="60" t="s">
        <v>1683</v>
      </c>
    </row>
    <row r="199" spans="1:23" ht="25.5" x14ac:dyDescent="0.2">
      <c r="A199" s="1" t="s">
        <v>1096</v>
      </c>
      <c r="B199" s="2" t="s">
        <v>213</v>
      </c>
      <c r="C199" s="2" t="s">
        <v>344</v>
      </c>
      <c r="D199" s="2" t="s">
        <v>187</v>
      </c>
      <c r="E199" s="2">
        <v>2021</v>
      </c>
      <c r="F199" s="2" t="s">
        <v>1798</v>
      </c>
      <c r="G199" s="2" t="s">
        <v>1667</v>
      </c>
      <c r="H199" s="2" t="s">
        <v>1669</v>
      </c>
      <c r="I199" s="1" t="s">
        <v>14</v>
      </c>
      <c r="J199" s="1" t="s">
        <v>2022</v>
      </c>
      <c r="L199" s="53" t="s">
        <v>1670</v>
      </c>
      <c r="M199" s="39"/>
      <c r="N199" s="39"/>
      <c r="O199" s="39"/>
      <c r="P199" s="39"/>
      <c r="Q199" s="39"/>
      <c r="R199" s="39"/>
      <c r="S199" s="39"/>
      <c r="T199" s="39"/>
      <c r="U199" s="39"/>
      <c r="V199" s="39"/>
      <c r="W199" s="60" t="s">
        <v>1683</v>
      </c>
    </row>
    <row r="200" spans="1:23" ht="25.5" x14ac:dyDescent="0.2">
      <c r="A200" s="1" t="s">
        <v>309</v>
      </c>
      <c r="B200" s="2" t="s">
        <v>213</v>
      </c>
      <c r="C200" s="2" t="s">
        <v>310</v>
      </c>
      <c r="D200" s="2" t="s">
        <v>132</v>
      </c>
      <c r="E200" s="2">
        <v>2021</v>
      </c>
      <c r="F200" s="2" t="s">
        <v>1789</v>
      </c>
      <c r="G200" s="2" t="s">
        <v>1667</v>
      </c>
      <c r="H200" s="2" t="s">
        <v>1669</v>
      </c>
      <c r="I200" s="1" t="s">
        <v>14</v>
      </c>
      <c r="J200" s="1" t="s">
        <v>2023</v>
      </c>
      <c r="L200" s="53" t="s">
        <v>1670</v>
      </c>
      <c r="M200" s="39"/>
      <c r="N200" s="39"/>
      <c r="O200" s="39"/>
      <c r="P200" s="39"/>
      <c r="Q200" s="39"/>
      <c r="R200" s="39"/>
      <c r="S200" s="39"/>
      <c r="T200" s="39"/>
      <c r="U200" s="39"/>
      <c r="V200" s="39">
        <v>246</v>
      </c>
      <c r="W200" s="60" t="s">
        <v>1682</v>
      </c>
    </row>
    <row r="201" spans="1:23" ht="140.25" x14ac:dyDescent="0.2">
      <c r="A201" s="1" t="s">
        <v>2024</v>
      </c>
      <c r="B201" s="2" t="s">
        <v>196</v>
      </c>
      <c r="C201" s="2" t="s">
        <v>415</v>
      </c>
      <c r="D201" s="2" t="s">
        <v>415</v>
      </c>
      <c r="E201" s="2">
        <v>2021</v>
      </c>
      <c r="F201" s="2" t="s">
        <v>1794</v>
      </c>
      <c r="G201" s="2" t="s">
        <v>1669</v>
      </c>
      <c r="H201" s="2" t="s">
        <v>1669</v>
      </c>
      <c r="I201" s="1" t="s">
        <v>2025</v>
      </c>
      <c r="J201" s="1" t="s">
        <v>2026</v>
      </c>
      <c r="L201" s="53">
        <v>0.13400000000000001</v>
      </c>
      <c r="M201" s="39">
        <f>(2415*0.04/0.196)+(3970*0.04/0.113)</f>
        <v>1898.1668773704173</v>
      </c>
      <c r="N201" s="39"/>
      <c r="O201" s="39"/>
      <c r="P201" s="39"/>
      <c r="Q201" s="39"/>
      <c r="R201" s="39"/>
      <c r="S201" s="39"/>
      <c r="T201" s="39"/>
      <c r="U201" s="39"/>
      <c r="V201" s="39"/>
      <c r="W201" s="60" t="s">
        <v>2027</v>
      </c>
    </row>
    <row r="202" spans="1:23" ht="51" x14ac:dyDescent="0.2">
      <c r="A202" s="1" t="s">
        <v>351</v>
      </c>
      <c r="B202" s="2" t="s">
        <v>38</v>
      </c>
      <c r="C202" s="2" t="s">
        <v>352</v>
      </c>
      <c r="D202" s="2" t="s">
        <v>58</v>
      </c>
      <c r="E202" s="2">
        <v>2021</v>
      </c>
      <c r="F202" s="2" t="s">
        <v>1791</v>
      </c>
      <c r="G202" s="2" t="s">
        <v>1667</v>
      </c>
      <c r="H202" s="2" t="s">
        <v>1669</v>
      </c>
      <c r="I202" s="1" t="s">
        <v>14</v>
      </c>
      <c r="J202" s="1" t="s">
        <v>2028</v>
      </c>
      <c r="L202" s="53"/>
      <c r="M202" s="39"/>
      <c r="N202" s="39"/>
      <c r="O202" s="39"/>
      <c r="P202" s="39"/>
      <c r="Q202" s="39"/>
      <c r="R202" s="39"/>
      <c r="S202" s="39"/>
      <c r="T202" s="39"/>
      <c r="U202" s="39"/>
      <c r="V202" s="39"/>
      <c r="W202" s="60" t="s">
        <v>1697</v>
      </c>
    </row>
    <row r="203" spans="1:23" ht="51" x14ac:dyDescent="0.2">
      <c r="A203" s="1" t="s">
        <v>351</v>
      </c>
      <c r="B203" s="2" t="s">
        <v>38</v>
      </c>
      <c r="C203" s="2" t="s">
        <v>352</v>
      </c>
      <c r="D203" s="2" t="s">
        <v>58</v>
      </c>
      <c r="E203" s="2">
        <v>2021</v>
      </c>
      <c r="F203" s="2" t="s">
        <v>1794</v>
      </c>
      <c r="G203" s="2" t="s">
        <v>1667</v>
      </c>
      <c r="H203" s="2" t="s">
        <v>1669</v>
      </c>
      <c r="I203" s="1" t="s">
        <v>14</v>
      </c>
      <c r="J203" s="1" t="s">
        <v>2029</v>
      </c>
      <c r="L203" s="53"/>
      <c r="M203" s="39"/>
      <c r="N203" s="39"/>
      <c r="O203" s="39"/>
      <c r="P203" s="39"/>
      <c r="Q203" s="39"/>
      <c r="R203" s="39"/>
      <c r="S203" s="39"/>
      <c r="T203" s="39"/>
      <c r="U203" s="39"/>
      <c r="V203" s="39"/>
      <c r="W203" s="60" t="s">
        <v>1697</v>
      </c>
    </row>
    <row r="204" spans="1:23" ht="38.25" x14ac:dyDescent="0.2">
      <c r="A204" s="1" t="s">
        <v>160</v>
      </c>
      <c r="B204" s="2" t="s">
        <v>48</v>
      </c>
      <c r="C204" s="2" t="s">
        <v>161</v>
      </c>
      <c r="D204" s="2" t="s">
        <v>121</v>
      </c>
      <c r="E204" s="2">
        <v>2021</v>
      </c>
      <c r="F204" s="2" t="s">
        <v>1776</v>
      </c>
      <c r="G204" s="2" t="s">
        <v>1667</v>
      </c>
      <c r="H204" s="2" t="s">
        <v>1669</v>
      </c>
      <c r="I204" s="1" t="s">
        <v>14</v>
      </c>
      <c r="J204" s="1" t="s">
        <v>2030</v>
      </c>
      <c r="L204" s="53">
        <v>0.20499999999999999</v>
      </c>
      <c r="M204" s="39"/>
      <c r="N204" s="39"/>
      <c r="O204" s="39">
        <v>181.3</v>
      </c>
      <c r="P204" s="39"/>
      <c r="Q204" s="39"/>
      <c r="R204" s="39"/>
      <c r="S204" s="39"/>
      <c r="T204" s="39"/>
      <c r="U204" s="39"/>
      <c r="V204" s="39"/>
      <c r="W204" s="60"/>
    </row>
    <row r="205" spans="1:23" ht="38.25" x14ac:dyDescent="0.2">
      <c r="A205" s="1" t="s">
        <v>160</v>
      </c>
      <c r="B205" s="2" t="s">
        <v>48</v>
      </c>
      <c r="C205" s="2" t="s">
        <v>161</v>
      </c>
      <c r="D205" s="2" t="s">
        <v>121</v>
      </c>
      <c r="E205" s="2">
        <v>2021</v>
      </c>
      <c r="F205" s="2" t="s">
        <v>1779</v>
      </c>
      <c r="G205" s="2" t="s">
        <v>1667</v>
      </c>
      <c r="H205" s="2" t="s">
        <v>1669</v>
      </c>
      <c r="I205" s="1" t="s">
        <v>14</v>
      </c>
      <c r="J205" s="1" t="s">
        <v>2031</v>
      </c>
      <c r="L205" s="53">
        <v>0.215</v>
      </c>
      <c r="M205" s="39"/>
      <c r="N205" s="39"/>
      <c r="O205" s="39">
        <v>183.6</v>
      </c>
      <c r="P205" s="39"/>
      <c r="Q205" s="39"/>
      <c r="R205" s="39"/>
      <c r="S205" s="39"/>
      <c r="T205" s="39"/>
      <c r="U205" s="39"/>
      <c r="V205" s="39"/>
      <c r="W205" s="60"/>
    </row>
    <row r="206" spans="1:23" ht="38.25" x14ac:dyDescent="0.2">
      <c r="A206" s="1" t="s">
        <v>160</v>
      </c>
      <c r="B206" s="2" t="s">
        <v>48</v>
      </c>
      <c r="C206" s="2" t="s">
        <v>161</v>
      </c>
      <c r="D206" s="2" t="s">
        <v>121</v>
      </c>
      <c r="E206" s="2">
        <v>2021</v>
      </c>
      <c r="F206" s="2" t="s">
        <v>1781</v>
      </c>
      <c r="G206" s="2" t="s">
        <v>1667</v>
      </c>
      <c r="H206" s="2" t="s">
        <v>1669</v>
      </c>
      <c r="I206" s="1" t="s">
        <v>14</v>
      </c>
      <c r="J206" s="1" t="s">
        <v>2032</v>
      </c>
      <c r="L206" s="53">
        <v>0.214</v>
      </c>
      <c r="M206" s="39"/>
      <c r="N206" s="39"/>
      <c r="O206" s="39">
        <v>246.5</v>
      </c>
      <c r="P206" s="39"/>
      <c r="Q206" s="39"/>
      <c r="R206" s="39"/>
      <c r="S206" s="39"/>
      <c r="T206" s="39"/>
      <c r="U206" s="39"/>
      <c r="V206" s="39"/>
      <c r="W206" s="60"/>
    </row>
    <row r="207" spans="1:23" ht="38.25" x14ac:dyDescent="0.2">
      <c r="A207" s="1" t="s">
        <v>160</v>
      </c>
      <c r="B207" s="2" t="s">
        <v>48</v>
      </c>
      <c r="C207" s="2" t="s">
        <v>161</v>
      </c>
      <c r="D207" s="2" t="s">
        <v>121</v>
      </c>
      <c r="E207" s="2">
        <v>2021</v>
      </c>
      <c r="F207" s="2" t="s">
        <v>1783</v>
      </c>
      <c r="G207" s="2" t="s">
        <v>1667</v>
      </c>
      <c r="H207" s="2" t="s">
        <v>1669</v>
      </c>
      <c r="I207" s="1" t="s">
        <v>14</v>
      </c>
      <c r="J207" s="1" t="s">
        <v>2033</v>
      </c>
      <c r="L207" s="53">
        <v>0.24099999999999999</v>
      </c>
      <c r="M207" s="39"/>
      <c r="N207" s="39"/>
      <c r="O207" s="39">
        <v>136.80000000000001</v>
      </c>
      <c r="P207" s="39"/>
      <c r="Q207" s="39"/>
      <c r="R207" s="39"/>
      <c r="S207" s="39"/>
      <c r="T207" s="39"/>
      <c r="U207" s="39"/>
      <c r="V207" s="39"/>
      <c r="W207" s="60"/>
    </row>
    <row r="208" spans="1:23" ht="38.25" x14ac:dyDescent="0.2">
      <c r="A208" s="1" t="s">
        <v>160</v>
      </c>
      <c r="B208" s="2" t="s">
        <v>48</v>
      </c>
      <c r="C208" s="2" t="s">
        <v>161</v>
      </c>
      <c r="D208" s="2" t="s">
        <v>121</v>
      </c>
      <c r="E208" s="2">
        <v>2021</v>
      </c>
      <c r="F208" s="2" t="s">
        <v>1785</v>
      </c>
      <c r="G208" s="2" t="s">
        <v>1667</v>
      </c>
      <c r="H208" s="2" t="s">
        <v>1669</v>
      </c>
      <c r="I208" s="1" t="s">
        <v>14</v>
      </c>
      <c r="J208" s="1" t="s">
        <v>2034</v>
      </c>
      <c r="L208" s="53">
        <v>0.215</v>
      </c>
      <c r="M208" s="39"/>
      <c r="N208" s="39"/>
      <c r="O208" s="39">
        <v>125.89</v>
      </c>
      <c r="P208" s="39"/>
      <c r="Q208" s="39"/>
      <c r="R208" s="39"/>
      <c r="S208" s="39"/>
      <c r="T208" s="39"/>
      <c r="U208" s="39"/>
      <c r="V208" s="39"/>
      <c r="W208" s="60"/>
    </row>
    <row r="209" spans="1:23" ht="38.25" x14ac:dyDescent="0.2">
      <c r="A209" s="1" t="s">
        <v>160</v>
      </c>
      <c r="B209" s="2" t="s">
        <v>48</v>
      </c>
      <c r="C209" s="2" t="s">
        <v>161</v>
      </c>
      <c r="D209" s="2" t="s">
        <v>121</v>
      </c>
      <c r="E209" s="2">
        <v>2021</v>
      </c>
      <c r="F209" s="2" t="s">
        <v>1787</v>
      </c>
      <c r="G209" s="2" t="s">
        <v>1667</v>
      </c>
      <c r="H209" s="2" t="s">
        <v>1669</v>
      </c>
      <c r="I209" s="1" t="s">
        <v>14</v>
      </c>
      <c r="J209" s="1" t="s">
        <v>2035</v>
      </c>
      <c r="L209" s="53">
        <v>0.22</v>
      </c>
      <c r="M209" s="39"/>
      <c r="N209" s="39"/>
      <c r="O209" s="39">
        <v>184.9</v>
      </c>
      <c r="P209" s="39"/>
      <c r="Q209" s="39"/>
      <c r="R209" s="39"/>
      <c r="S209" s="39"/>
      <c r="T209" s="39"/>
      <c r="U209" s="39"/>
      <c r="V209" s="39"/>
      <c r="W209" s="60"/>
    </row>
    <row r="210" spans="1:23" ht="38.25" x14ac:dyDescent="0.2">
      <c r="A210" s="1" t="s">
        <v>160</v>
      </c>
      <c r="B210" s="2" t="s">
        <v>48</v>
      </c>
      <c r="C210" s="2" t="s">
        <v>161</v>
      </c>
      <c r="D210" s="2" t="s">
        <v>121</v>
      </c>
      <c r="E210" s="2">
        <v>2021</v>
      </c>
      <c r="F210" s="2" t="s">
        <v>1789</v>
      </c>
      <c r="G210" s="2" t="s">
        <v>1667</v>
      </c>
      <c r="H210" s="2" t="s">
        <v>1669</v>
      </c>
      <c r="I210" s="1" t="s">
        <v>14</v>
      </c>
      <c r="J210" s="1" t="s">
        <v>2036</v>
      </c>
      <c r="L210" s="53">
        <v>0.20200000000000001</v>
      </c>
      <c r="M210" s="39"/>
      <c r="N210" s="39"/>
      <c r="O210" s="39">
        <v>167.1</v>
      </c>
      <c r="P210" s="39"/>
      <c r="Q210" s="39"/>
      <c r="R210" s="39"/>
      <c r="S210" s="39"/>
      <c r="T210" s="39"/>
      <c r="U210" s="39"/>
      <c r="V210" s="39"/>
      <c r="W210" s="60"/>
    </row>
    <row r="211" spans="1:23" ht="38.25" x14ac:dyDescent="0.2">
      <c r="A211" s="1" t="s">
        <v>160</v>
      </c>
      <c r="B211" s="2" t="s">
        <v>48</v>
      </c>
      <c r="C211" s="2" t="s">
        <v>161</v>
      </c>
      <c r="D211" s="2" t="s">
        <v>121</v>
      </c>
      <c r="E211" s="2">
        <v>2021</v>
      </c>
      <c r="F211" s="2" t="s">
        <v>1791</v>
      </c>
      <c r="G211" s="2" t="s">
        <v>1667</v>
      </c>
      <c r="H211" s="2" t="s">
        <v>1669</v>
      </c>
      <c r="I211" s="1" t="s">
        <v>14</v>
      </c>
      <c r="J211" s="1" t="s">
        <v>2037</v>
      </c>
      <c r="L211" s="53">
        <v>0.19500000000000001</v>
      </c>
      <c r="M211" s="39"/>
      <c r="N211" s="39"/>
      <c r="O211" s="39">
        <v>200.2</v>
      </c>
      <c r="P211" s="39"/>
      <c r="Q211" s="39"/>
      <c r="R211" s="39"/>
      <c r="S211" s="39"/>
      <c r="T211" s="39"/>
      <c r="U211" s="39"/>
      <c r="V211" s="39"/>
      <c r="W211" s="60"/>
    </row>
    <row r="212" spans="1:23" ht="38.25" x14ac:dyDescent="0.2">
      <c r="A212" s="1" t="s">
        <v>160</v>
      </c>
      <c r="B212" s="2" t="s">
        <v>48</v>
      </c>
      <c r="C212" s="2" t="s">
        <v>161</v>
      </c>
      <c r="D212" s="2" t="s">
        <v>121</v>
      </c>
      <c r="E212" s="2">
        <v>2021</v>
      </c>
      <c r="F212" s="2" t="s">
        <v>311</v>
      </c>
      <c r="G212" s="2" t="s">
        <v>1667</v>
      </c>
      <c r="H212" s="2" t="s">
        <v>1669</v>
      </c>
      <c r="I212" s="1" t="s">
        <v>14</v>
      </c>
      <c r="J212" s="1" t="s">
        <v>2038</v>
      </c>
      <c r="L212" s="53">
        <v>0.19700000000000001</v>
      </c>
      <c r="M212" s="39"/>
      <c r="N212" s="39"/>
      <c r="O212" s="39">
        <v>100.9</v>
      </c>
      <c r="P212" s="39"/>
      <c r="Q212" s="39"/>
      <c r="R212" s="39"/>
      <c r="S212" s="39"/>
      <c r="T212" s="39"/>
      <c r="U212" s="39"/>
      <c r="V212" s="39"/>
      <c r="W212" s="60"/>
    </row>
    <row r="213" spans="1:23" ht="38.25" x14ac:dyDescent="0.2">
      <c r="A213" s="1" t="s">
        <v>160</v>
      </c>
      <c r="B213" s="2" t="s">
        <v>48</v>
      </c>
      <c r="C213" s="2" t="s">
        <v>161</v>
      </c>
      <c r="D213" s="2" t="s">
        <v>121</v>
      </c>
      <c r="E213" s="2">
        <v>2021</v>
      </c>
      <c r="F213" s="2" t="s">
        <v>1794</v>
      </c>
      <c r="G213" s="2" t="s">
        <v>1667</v>
      </c>
      <c r="H213" s="2" t="s">
        <v>1669</v>
      </c>
      <c r="I213" s="1" t="s">
        <v>14</v>
      </c>
      <c r="J213" s="1" t="s">
        <v>2039</v>
      </c>
      <c r="L213" s="53">
        <v>0.20100000000000001</v>
      </c>
      <c r="M213" s="39"/>
      <c r="N213" s="39"/>
      <c r="O213" s="39">
        <v>140.9</v>
      </c>
      <c r="P213" s="39"/>
      <c r="Q213" s="39"/>
      <c r="R213" s="39"/>
      <c r="S213" s="39"/>
      <c r="T213" s="39"/>
      <c r="U213" s="39"/>
      <c r="V213" s="39"/>
      <c r="W213" s="60"/>
    </row>
    <row r="214" spans="1:23" ht="38.25" x14ac:dyDescent="0.2">
      <c r="A214" s="1" t="s">
        <v>160</v>
      </c>
      <c r="B214" s="2" t="s">
        <v>48</v>
      </c>
      <c r="C214" s="2" t="s">
        <v>161</v>
      </c>
      <c r="D214" s="2" t="s">
        <v>121</v>
      </c>
      <c r="E214" s="2">
        <v>2021</v>
      </c>
      <c r="F214" s="2" t="s">
        <v>1796</v>
      </c>
      <c r="G214" s="2" t="s">
        <v>1667</v>
      </c>
      <c r="H214" s="2" t="s">
        <v>1669</v>
      </c>
      <c r="I214" s="1" t="s">
        <v>14</v>
      </c>
      <c r="J214" s="1" t="s">
        <v>2040</v>
      </c>
      <c r="L214" s="53">
        <v>0.19</v>
      </c>
      <c r="M214" s="39"/>
      <c r="N214" s="39"/>
      <c r="O214" s="39">
        <v>178.8</v>
      </c>
      <c r="P214" s="39"/>
      <c r="Q214" s="39"/>
      <c r="R214" s="39"/>
      <c r="S214" s="39"/>
      <c r="T214" s="39"/>
      <c r="U214" s="39"/>
      <c r="V214" s="39"/>
      <c r="W214" s="60"/>
    </row>
    <row r="215" spans="1:23" ht="38.25" x14ac:dyDescent="0.2">
      <c r="A215" s="1" t="s">
        <v>160</v>
      </c>
      <c r="B215" s="2" t="s">
        <v>48</v>
      </c>
      <c r="C215" s="2" t="s">
        <v>161</v>
      </c>
      <c r="D215" s="2" t="s">
        <v>121</v>
      </c>
      <c r="E215" s="2">
        <v>2021</v>
      </c>
      <c r="F215" s="2" t="s">
        <v>1798</v>
      </c>
      <c r="G215" s="2" t="s">
        <v>1667</v>
      </c>
      <c r="H215" s="2" t="s">
        <v>1669</v>
      </c>
      <c r="I215" s="1" t="s">
        <v>14</v>
      </c>
      <c r="J215" s="1" t="s">
        <v>2041</v>
      </c>
      <c r="L215" s="53">
        <v>0.191</v>
      </c>
      <c r="M215" s="39"/>
      <c r="N215" s="39"/>
      <c r="O215" s="39">
        <v>199.5</v>
      </c>
      <c r="P215" s="39"/>
      <c r="Q215" s="39"/>
      <c r="R215" s="39"/>
      <c r="S215" s="39"/>
      <c r="T215" s="39"/>
      <c r="U215" s="39"/>
      <c r="V215" s="39"/>
      <c r="W215" s="60"/>
    </row>
    <row r="216" spans="1:23" ht="89.25" x14ac:dyDescent="0.2">
      <c r="A216" s="1" t="s">
        <v>72</v>
      </c>
      <c r="B216" s="2" t="s">
        <v>38</v>
      </c>
      <c r="C216" s="2" t="s">
        <v>73</v>
      </c>
      <c r="D216" s="2" t="s">
        <v>74</v>
      </c>
      <c r="E216" s="2">
        <v>2021</v>
      </c>
      <c r="F216" s="2" t="s">
        <v>1776</v>
      </c>
      <c r="G216" s="2" t="s">
        <v>1667</v>
      </c>
      <c r="H216" s="2" t="s">
        <v>1669</v>
      </c>
      <c r="I216" s="1" t="s">
        <v>14</v>
      </c>
      <c r="J216" s="1" t="s">
        <v>2042</v>
      </c>
      <c r="L216" s="53">
        <v>0.41060000000000002</v>
      </c>
      <c r="M216" s="39"/>
      <c r="N216" s="39"/>
      <c r="O216" s="39">
        <f>3878*0.06</f>
        <v>232.67999999999998</v>
      </c>
      <c r="P216" s="39"/>
      <c r="Q216" s="39"/>
      <c r="R216" s="39"/>
      <c r="S216" s="39"/>
      <c r="T216" s="39">
        <f>728*0.06</f>
        <v>43.68</v>
      </c>
      <c r="U216" s="39"/>
      <c r="V216" s="39"/>
      <c r="W216" s="60" t="s">
        <v>1748</v>
      </c>
    </row>
    <row r="217" spans="1:23" ht="76.5" x14ac:dyDescent="0.2">
      <c r="A217" s="1" t="s">
        <v>72</v>
      </c>
      <c r="B217" s="2" t="s">
        <v>38</v>
      </c>
      <c r="C217" s="2" t="s">
        <v>73</v>
      </c>
      <c r="D217" s="2" t="s">
        <v>74</v>
      </c>
      <c r="E217" s="2">
        <v>2021</v>
      </c>
      <c r="F217" s="2" t="s">
        <v>1779</v>
      </c>
      <c r="G217" s="2" t="s">
        <v>1667</v>
      </c>
      <c r="H217" s="2" t="s">
        <v>1669</v>
      </c>
      <c r="I217" s="1" t="s">
        <v>14</v>
      </c>
      <c r="J217" s="1" t="s">
        <v>2043</v>
      </c>
      <c r="L217" s="53">
        <v>0.38529999999999998</v>
      </c>
      <c r="M217" s="39"/>
      <c r="N217" s="39"/>
      <c r="O217" s="39">
        <f>2253*0.06</f>
        <v>135.18</v>
      </c>
      <c r="P217" s="39"/>
      <c r="Q217" s="39"/>
      <c r="R217" s="39"/>
      <c r="S217" s="39"/>
      <c r="T217" s="39">
        <f>3108*0.06</f>
        <v>186.48</v>
      </c>
      <c r="U217" s="39"/>
      <c r="V217" s="39"/>
      <c r="W217" s="60" t="s">
        <v>1748</v>
      </c>
    </row>
    <row r="218" spans="1:23" ht="114.75" x14ac:dyDescent="0.2">
      <c r="A218" s="1" t="s">
        <v>72</v>
      </c>
      <c r="B218" s="2" t="s">
        <v>38</v>
      </c>
      <c r="C218" s="2" t="s">
        <v>73</v>
      </c>
      <c r="D218" s="2" t="s">
        <v>74</v>
      </c>
      <c r="E218" s="2">
        <v>2021</v>
      </c>
      <c r="F218" s="2" t="s">
        <v>1781</v>
      </c>
      <c r="G218" s="2" t="s">
        <v>1667</v>
      </c>
      <c r="H218" s="2" t="s">
        <v>1669</v>
      </c>
      <c r="I218" s="1" t="s">
        <v>14</v>
      </c>
      <c r="J218" s="1" t="s">
        <v>2044</v>
      </c>
      <c r="L218" s="53">
        <v>0.4118</v>
      </c>
      <c r="M218" s="39"/>
      <c r="N218" s="39"/>
      <c r="O218" s="39">
        <f>870*0.06</f>
        <v>52.199999999999996</v>
      </c>
      <c r="P218" s="39"/>
      <c r="Q218" s="39"/>
      <c r="R218" s="39"/>
      <c r="S218" s="39"/>
      <c r="T218" s="39">
        <f>4194*0.06</f>
        <v>251.64</v>
      </c>
      <c r="U218" s="39"/>
      <c r="V218" s="39"/>
      <c r="W218" s="60" t="s">
        <v>1748</v>
      </c>
    </row>
    <row r="219" spans="1:23" ht="102" x14ac:dyDescent="0.2">
      <c r="A219" s="1" t="s">
        <v>72</v>
      </c>
      <c r="B219" s="2" t="s">
        <v>38</v>
      </c>
      <c r="C219" s="2" t="s">
        <v>73</v>
      </c>
      <c r="D219" s="2" t="s">
        <v>74</v>
      </c>
      <c r="E219" s="2">
        <v>2021</v>
      </c>
      <c r="F219" s="2" t="s">
        <v>1783</v>
      </c>
      <c r="G219" s="2" t="s">
        <v>1667</v>
      </c>
      <c r="H219" s="2" t="s">
        <v>1669</v>
      </c>
      <c r="I219" s="1" t="s">
        <v>14</v>
      </c>
      <c r="J219" s="1" t="s">
        <v>2045</v>
      </c>
      <c r="L219" s="53">
        <v>0.42699999999999999</v>
      </c>
      <c r="M219" s="39"/>
      <c r="N219" s="39"/>
      <c r="O219" s="39">
        <f>1676*0.06</f>
        <v>100.56</v>
      </c>
      <c r="P219" s="39"/>
      <c r="Q219" s="39"/>
      <c r="R219" s="39"/>
      <c r="S219" s="39"/>
      <c r="T219" s="39">
        <f>2805*0.06</f>
        <v>168.29999999999998</v>
      </c>
      <c r="U219" s="39"/>
      <c r="V219" s="39"/>
      <c r="W219" s="60" t="s">
        <v>1748</v>
      </c>
    </row>
    <row r="220" spans="1:23" ht="102" x14ac:dyDescent="0.2">
      <c r="A220" s="1" t="s">
        <v>72</v>
      </c>
      <c r="B220" s="2" t="s">
        <v>38</v>
      </c>
      <c r="C220" s="2" t="s">
        <v>73</v>
      </c>
      <c r="D220" s="2" t="s">
        <v>74</v>
      </c>
      <c r="E220" s="2">
        <v>2021</v>
      </c>
      <c r="F220" s="2" t="s">
        <v>1785</v>
      </c>
      <c r="G220" s="2" t="s">
        <v>1667</v>
      </c>
      <c r="H220" s="2" t="s">
        <v>1669</v>
      </c>
      <c r="I220" s="1" t="s">
        <v>14</v>
      </c>
      <c r="J220" s="1" t="s">
        <v>2046</v>
      </c>
      <c r="L220" s="53">
        <v>0.40100000000000002</v>
      </c>
      <c r="M220" s="39"/>
      <c r="N220" s="39"/>
      <c r="O220" s="39">
        <f>5582*0.06</f>
        <v>334.92</v>
      </c>
      <c r="P220" s="39"/>
      <c r="Q220" s="39"/>
      <c r="R220" s="39"/>
      <c r="S220" s="39"/>
      <c r="T220" s="39">
        <f>304*0.06</f>
        <v>18.239999999999998</v>
      </c>
      <c r="U220" s="39"/>
      <c r="V220" s="39"/>
      <c r="W220" s="60" t="s">
        <v>1748</v>
      </c>
    </row>
    <row r="221" spans="1:23" ht="114.75" x14ac:dyDescent="0.2">
      <c r="A221" s="1" t="s">
        <v>72</v>
      </c>
      <c r="B221" s="2" t="s">
        <v>38</v>
      </c>
      <c r="C221" s="2" t="s">
        <v>73</v>
      </c>
      <c r="D221" s="2" t="s">
        <v>74</v>
      </c>
      <c r="E221" s="2">
        <v>2021</v>
      </c>
      <c r="F221" s="2" t="s">
        <v>1787</v>
      </c>
      <c r="G221" s="2" t="s">
        <v>1667</v>
      </c>
      <c r="H221" s="2" t="s">
        <v>1669</v>
      </c>
      <c r="I221" s="1" t="s">
        <v>14</v>
      </c>
      <c r="J221" s="1" t="s">
        <v>2047</v>
      </c>
      <c r="L221" s="53">
        <v>0.41049999999999998</v>
      </c>
      <c r="M221" s="39"/>
      <c r="N221" s="39"/>
      <c r="O221" s="39">
        <f>5475*0.06</f>
        <v>328.5</v>
      </c>
      <c r="P221" s="39">
        <f>38*0.06</f>
        <v>2.2799999999999998</v>
      </c>
      <c r="Q221" s="39"/>
      <c r="R221" s="39"/>
      <c r="S221" s="39">
        <f>293*0.06</f>
        <v>17.579999999999998</v>
      </c>
      <c r="T221" s="39">
        <f>109*0.06</f>
        <v>6.54</v>
      </c>
      <c r="U221" s="39"/>
      <c r="V221" s="39"/>
      <c r="W221" s="60" t="s">
        <v>1748</v>
      </c>
    </row>
    <row r="222" spans="1:23" ht="89.25" x14ac:dyDescent="0.2">
      <c r="A222" s="1" t="s">
        <v>72</v>
      </c>
      <c r="B222" s="2" t="s">
        <v>38</v>
      </c>
      <c r="C222" s="2" t="s">
        <v>73</v>
      </c>
      <c r="D222" s="2" t="s">
        <v>74</v>
      </c>
      <c r="E222" s="2">
        <v>2021</v>
      </c>
      <c r="F222" s="2" t="s">
        <v>1789</v>
      </c>
      <c r="G222" s="2" t="s">
        <v>1667</v>
      </c>
      <c r="H222" s="2" t="s">
        <v>1669</v>
      </c>
      <c r="I222" s="1" t="s">
        <v>14</v>
      </c>
      <c r="J222" s="1" t="s">
        <v>2048</v>
      </c>
      <c r="L222" s="53">
        <v>0.46010000000000001</v>
      </c>
      <c r="M222" s="39"/>
      <c r="N222" s="39"/>
      <c r="O222" s="39">
        <f>3530*0.06</f>
        <v>211.79999999999998</v>
      </c>
      <c r="P222" s="39"/>
      <c r="Q222" s="39"/>
      <c r="R222" s="39"/>
      <c r="S222" s="39"/>
      <c r="T222" s="39">
        <f>2424*0.06</f>
        <v>145.44</v>
      </c>
      <c r="U222" s="39"/>
      <c r="V222" s="39"/>
      <c r="W222" s="60" t="s">
        <v>1748</v>
      </c>
    </row>
    <row r="223" spans="1:23" ht="102" x14ac:dyDescent="0.2">
      <c r="A223" s="1" t="s">
        <v>72</v>
      </c>
      <c r="B223" s="2" t="s">
        <v>38</v>
      </c>
      <c r="C223" s="2" t="s">
        <v>73</v>
      </c>
      <c r="D223" s="2" t="s">
        <v>74</v>
      </c>
      <c r="E223" s="2">
        <v>2021</v>
      </c>
      <c r="F223" s="2" t="s">
        <v>1791</v>
      </c>
      <c r="G223" s="2" t="s">
        <v>1667</v>
      </c>
      <c r="H223" s="2" t="s">
        <v>1669</v>
      </c>
      <c r="I223" s="1" t="s">
        <v>14</v>
      </c>
      <c r="J223" s="1" t="s">
        <v>2049</v>
      </c>
      <c r="L223" s="53">
        <v>0.44330000000000003</v>
      </c>
      <c r="M223" s="39"/>
      <c r="N223" s="39"/>
      <c r="O223" s="39">
        <f>6002*0.06</f>
        <v>360.12</v>
      </c>
      <c r="P223" s="39"/>
      <c r="Q223" s="39"/>
      <c r="R223" s="39"/>
      <c r="S223" s="39"/>
      <c r="T223" s="39">
        <f>1173*0.06</f>
        <v>70.38</v>
      </c>
      <c r="U223" s="39"/>
      <c r="V223" s="39"/>
      <c r="W223" s="60" t="s">
        <v>1748</v>
      </c>
    </row>
    <row r="224" spans="1:23" ht="89.25" x14ac:dyDescent="0.2">
      <c r="A224" s="1" t="s">
        <v>72</v>
      </c>
      <c r="B224" s="2" t="s">
        <v>38</v>
      </c>
      <c r="C224" s="2" t="s">
        <v>73</v>
      </c>
      <c r="D224" s="2" t="s">
        <v>74</v>
      </c>
      <c r="E224" s="2">
        <v>2021</v>
      </c>
      <c r="F224" s="2" t="s">
        <v>311</v>
      </c>
      <c r="G224" s="2" t="s">
        <v>1667</v>
      </c>
      <c r="H224" s="2" t="s">
        <v>1669</v>
      </c>
      <c r="I224" s="1" t="s">
        <v>14</v>
      </c>
      <c r="J224" s="1" t="s">
        <v>2050</v>
      </c>
      <c r="L224" s="53">
        <v>0.44940000000000002</v>
      </c>
      <c r="M224" s="39"/>
      <c r="N224" s="39"/>
      <c r="O224" s="39">
        <f>2415*0.06</f>
        <v>144.9</v>
      </c>
      <c r="P224" s="39"/>
      <c r="Q224" s="39"/>
      <c r="R224" s="39"/>
      <c r="S224" s="39"/>
      <c r="T224" s="39">
        <f>1717*0.06</f>
        <v>103.02</v>
      </c>
      <c r="U224" s="39"/>
      <c r="V224" s="39"/>
      <c r="W224" s="60" t="s">
        <v>1748</v>
      </c>
    </row>
    <row r="225" spans="1:23" ht="102" x14ac:dyDescent="0.2">
      <c r="A225" s="1" t="s">
        <v>72</v>
      </c>
      <c r="B225" s="2" t="s">
        <v>38</v>
      </c>
      <c r="C225" s="2" t="s">
        <v>73</v>
      </c>
      <c r="D225" s="2" t="s">
        <v>74</v>
      </c>
      <c r="E225" s="2">
        <v>2021</v>
      </c>
      <c r="F225" s="2" t="s">
        <v>1794</v>
      </c>
      <c r="G225" s="2" t="s">
        <v>1667</v>
      </c>
      <c r="H225" s="2" t="s">
        <v>1669</v>
      </c>
      <c r="I225" s="1" t="s">
        <v>14</v>
      </c>
      <c r="J225" s="1" t="s">
        <v>2051</v>
      </c>
      <c r="L225" s="53">
        <v>0.44940000000000002</v>
      </c>
      <c r="M225" s="39"/>
      <c r="N225" s="39"/>
      <c r="O225" s="39">
        <f>2415*0.06</f>
        <v>144.9</v>
      </c>
      <c r="P225" s="39"/>
      <c r="Q225" s="39"/>
      <c r="R225" s="39"/>
      <c r="S225" s="39"/>
      <c r="T225" s="39">
        <f>1717*0.06</f>
        <v>103.02</v>
      </c>
      <c r="U225" s="39"/>
      <c r="V225" s="39"/>
      <c r="W225" s="60" t="s">
        <v>3069</v>
      </c>
    </row>
    <row r="226" spans="1:23" ht="102" x14ac:dyDescent="0.2">
      <c r="A226" s="1" t="s">
        <v>72</v>
      </c>
      <c r="B226" s="2" t="s">
        <v>38</v>
      </c>
      <c r="C226" s="2" t="s">
        <v>73</v>
      </c>
      <c r="D226" s="2" t="s">
        <v>74</v>
      </c>
      <c r="E226" s="2">
        <v>2021</v>
      </c>
      <c r="F226" s="2" t="s">
        <v>1796</v>
      </c>
      <c r="G226" s="2" t="s">
        <v>1667</v>
      </c>
      <c r="H226" s="2" t="s">
        <v>1669</v>
      </c>
      <c r="I226" s="1" t="s">
        <v>14</v>
      </c>
      <c r="J226" s="1" t="s">
        <v>2052</v>
      </c>
      <c r="L226" s="53">
        <v>0.41049999999999998</v>
      </c>
      <c r="M226" s="39"/>
      <c r="N226" s="39"/>
      <c r="O226" s="39">
        <f>454*0.06</f>
        <v>27.24</v>
      </c>
      <c r="P226" s="39"/>
      <c r="Q226" s="39"/>
      <c r="R226" s="39"/>
      <c r="S226" s="39">
        <f>116*0.06</f>
        <v>6.96</v>
      </c>
      <c r="T226" s="39">
        <f>5369*0.06</f>
        <v>322.14</v>
      </c>
      <c r="U226" s="39"/>
      <c r="V226" s="39"/>
      <c r="W226" s="60" t="s">
        <v>1748</v>
      </c>
    </row>
    <row r="227" spans="1:23" ht="89.25" x14ac:dyDescent="0.2">
      <c r="A227" s="1" t="s">
        <v>72</v>
      </c>
      <c r="B227" s="2" t="s">
        <v>38</v>
      </c>
      <c r="C227" s="2" t="s">
        <v>73</v>
      </c>
      <c r="D227" s="2" t="s">
        <v>74</v>
      </c>
      <c r="E227" s="2">
        <v>2021</v>
      </c>
      <c r="F227" s="2" t="s">
        <v>1798</v>
      </c>
      <c r="G227" s="2" t="s">
        <v>1667</v>
      </c>
      <c r="H227" s="2" t="s">
        <v>1669</v>
      </c>
      <c r="I227" s="1" t="s">
        <v>14</v>
      </c>
      <c r="J227" s="1" t="s">
        <v>2053</v>
      </c>
      <c r="L227" s="53">
        <v>0.41139999999999999</v>
      </c>
      <c r="M227" s="39"/>
      <c r="N227" s="39"/>
      <c r="O227" s="39">
        <f>2520*0.06</f>
        <v>151.19999999999999</v>
      </c>
      <c r="P227" s="39"/>
      <c r="Q227" s="39"/>
      <c r="R227" s="39"/>
      <c r="S227" s="39"/>
      <c r="T227" s="39">
        <f>3028*0.06</f>
        <v>181.68</v>
      </c>
      <c r="U227" s="39"/>
      <c r="V227" s="39"/>
      <c r="W227" s="60" t="s">
        <v>1748</v>
      </c>
    </row>
    <row r="228" spans="1:23" ht="102" x14ac:dyDescent="0.2">
      <c r="A228" s="1" t="s">
        <v>2054</v>
      </c>
      <c r="B228" s="2" t="s">
        <v>196</v>
      </c>
      <c r="C228" s="2" t="s">
        <v>2055</v>
      </c>
      <c r="D228" s="2" t="s">
        <v>2056</v>
      </c>
      <c r="E228" s="2">
        <v>2021</v>
      </c>
      <c r="F228" s="2" t="s">
        <v>1789</v>
      </c>
      <c r="G228" s="2" t="s">
        <v>1669</v>
      </c>
      <c r="H228" s="2" t="s">
        <v>1669</v>
      </c>
      <c r="I228" s="1" t="s">
        <v>2057</v>
      </c>
      <c r="J228" s="1" t="s">
        <v>2058</v>
      </c>
      <c r="L228" s="53">
        <v>0.37180000000000002</v>
      </c>
      <c r="M228" s="39"/>
      <c r="N228" s="39"/>
      <c r="O228" s="39">
        <v>127.92</v>
      </c>
      <c r="P228" s="39"/>
      <c r="Q228" s="39"/>
      <c r="R228" s="39"/>
      <c r="S228" s="39"/>
      <c r="T228" s="39"/>
      <c r="U228" s="39"/>
      <c r="V228" s="39"/>
      <c r="W228" s="60" t="s">
        <v>1720</v>
      </c>
    </row>
    <row r="229" spans="1:23" ht="114.75" x14ac:dyDescent="0.2">
      <c r="A229" s="1" t="s">
        <v>2054</v>
      </c>
      <c r="B229" s="2" t="s">
        <v>196</v>
      </c>
      <c r="C229" s="2" t="s">
        <v>2055</v>
      </c>
      <c r="D229" s="2" t="s">
        <v>2056</v>
      </c>
      <c r="E229" s="2">
        <v>2021</v>
      </c>
      <c r="F229" s="2" t="s">
        <v>1791</v>
      </c>
      <c r="G229" s="2" t="s">
        <v>1669</v>
      </c>
      <c r="H229" s="2" t="s">
        <v>1668</v>
      </c>
      <c r="I229" s="1" t="s">
        <v>2059</v>
      </c>
      <c r="J229" s="1" t="s">
        <v>14</v>
      </c>
      <c r="L229" s="53"/>
      <c r="M229" s="39"/>
      <c r="N229" s="39"/>
      <c r="O229" s="39"/>
      <c r="P229" s="39"/>
      <c r="Q229" s="39"/>
      <c r="R229" s="39"/>
      <c r="S229" s="39"/>
      <c r="T229" s="39"/>
      <c r="U229" s="39"/>
      <c r="V229" s="39"/>
      <c r="W229" s="60" t="s">
        <v>1693</v>
      </c>
    </row>
    <row r="230" spans="1:23" ht="102" x14ac:dyDescent="0.2">
      <c r="A230" s="1" t="s">
        <v>2060</v>
      </c>
      <c r="B230" s="2" t="s">
        <v>196</v>
      </c>
      <c r="C230" s="2" t="s">
        <v>2061</v>
      </c>
      <c r="D230" s="2" t="s">
        <v>2062</v>
      </c>
      <c r="E230" s="2">
        <v>2021</v>
      </c>
      <c r="F230" s="2" t="s">
        <v>1796</v>
      </c>
      <c r="G230" s="2" t="s">
        <v>1669</v>
      </c>
      <c r="H230" s="2" t="s">
        <v>1668</v>
      </c>
      <c r="I230" s="1" t="s">
        <v>2063</v>
      </c>
      <c r="J230" s="1" t="s">
        <v>14</v>
      </c>
      <c r="L230" s="53"/>
      <c r="M230" s="39"/>
      <c r="N230" s="39"/>
      <c r="O230" s="39"/>
      <c r="P230" s="39"/>
      <c r="Q230" s="39"/>
      <c r="R230" s="39"/>
      <c r="S230" s="39"/>
      <c r="T230" s="39"/>
      <c r="U230" s="39"/>
      <c r="V230" s="39"/>
      <c r="W230" s="60" t="s">
        <v>1706</v>
      </c>
    </row>
    <row r="231" spans="1:23" ht="114.75" x14ac:dyDescent="0.2">
      <c r="A231" s="1" t="s">
        <v>2064</v>
      </c>
      <c r="B231" s="2" t="s">
        <v>196</v>
      </c>
      <c r="C231" s="2" t="s">
        <v>2061</v>
      </c>
      <c r="D231" s="2" t="s">
        <v>2062</v>
      </c>
      <c r="E231" s="2">
        <v>2021</v>
      </c>
      <c r="F231" s="2" t="s">
        <v>1789</v>
      </c>
      <c r="G231" s="2" t="s">
        <v>1669</v>
      </c>
      <c r="H231" s="2" t="s">
        <v>1668</v>
      </c>
      <c r="I231" s="1" t="s">
        <v>2065</v>
      </c>
      <c r="J231" s="1" t="s">
        <v>14</v>
      </c>
      <c r="L231" s="53"/>
      <c r="M231" s="39"/>
      <c r="N231" s="39"/>
      <c r="O231" s="39"/>
      <c r="P231" s="39"/>
      <c r="Q231" s="39"/>
      <c r="R231" s="39"/>
      <c r="S231" s="39"/>
      <c r="T231" s="39"/>
      <c r="U231" s="39"/>
      <c r="V231" s="39"/>
      <c r="W231" s="60" t="s">
        <v>1706</v>
      </c>
    </row>
    <row r="232" spans="1:23" ht="178.5" x14ac:dyDescent="0.2">
      <c r="A232" s="1" t="s">
        <v>428</v>
      </c>
      <c r="B232" s="2" t="s">
        <v>196</v>
      </c>
      <c r="C232" s="2" t="s">
        <v>429</v>
      </c>
      <c r="D232" s="2" t="s">
        <v>33</v>
      </c>
      <c r="E232" s="2">
        <v>2021</v>
      </c>
      <c r="F232" s="2" t="s">
        <v>1791</v>
      </c>
      <c r="G232" s="2" t="s">
        <v>1669</v>
      </c>
      <c r="H232" s="2" t="s">
        <v>1669</v>
      </c>
      <c r="I232" s="1" t="s">
        <v>2066</v>
      </c>
      <c r="J232" s="1" t="s">
        <v>2067</v>
      </c>
      <c r="L232" s="33">
        <v>0.2243</v>
      </c>
      <c r="M232" s="15"/>
      <c r="N232" s="15"/>
      <c r="O232" s="15">
        <v>2530.84</v>
      </c>
      <c r="P232" s="15"/>
      <c r="Q232" s="15"/>
      <c r="R232" s="15"/>
      <c r="S232" s="15"/>
      <c r="T232" s="15"/>
      <c r="U232" s="15"/>
      <c r="V232" s="15"/>
      <c r="W232" s="60"/>
    </row>
    <row r="233" spans="1:23" ht="178.5" x14ac:dyDescent="0.2">
      <c r="A233" s="1" t="s">
        <v>428</v>
      </c>
      <c r="B233" s="2" t="s">
        <v>196</v>
      </c>
      <c r="C233" s="2" t="s">
        <v>429</v>
      </c>
      <c r="D233" s="2" t="s">
        <v>33</v>
      </c>
      <c r="E233" s="2">
        <v>2021</v>
      </c>
      <c r="F233" s="2" t="s">
        <v>311</v>
      </c>
      <c r="G233" s="2" t="s">
        <v>1669</v>
      </c>
      <c r="H233" s="2" t="s">
        <v>1669</v>
      </c>
      <c r="I233" s="1" t="s">
        <v>2068</v>
      </c>
      <c r="J233" s="1" t="s">
        <v>2069</v>
      </c>
      <c r="L233" s="53"/>
      <c r="M233" s="39"/>
      <c r="N233" s="39"/>
      <c r="O233" s="39"/>
      <c r="P233" s="39"/>
      <c r="Q233" s="39"/>
      <c r="R233" s="39"/>
      <c r="S233" s="39"/>
      <c r="T233" s="39"/>
      <c r="U233" s="39"/>
      <c r="V233" s="39"/>
      <c r="W233" s="61" t="s">
        <v>1734</v>
      </c>
    </row>
    <row r="234" spans="1:23" ht="76.5" x14ac:dyDescent="0.2">
      <c r="A234" s="1" t="s">
        <v>385</v>
      </c>
      <c r="B234" s="2" t="s">
        <v>386</v>
      </c>
      <c r="C234" s="2" t="s">
        <v>387</v>
      </c>
      <c r="D234" s="2" t="s">
        <v>246</v>
      </c>
      <c r="E234" s="2">
        <v>2021</v>
      </c>
      <c r="F234" s="2" t="s">
        <v>311</v>
      </c>
      <c r="G234" s="2" t="s">
        <v>1669</v>
      </c>
      <c r="H234" s="2" t="s">
        <v>1668</v>
      </c>
      <c r="I234" s="1" t="s">
        <v>2070</v>
      </c>
      <c r="J234" s="1" t="s">
        <v>14</v>
      </c>
      <c r="L234" s="53"/>
      <c r="M234" s="39"/>
      <c r="N234" s="39"/>
      <c r="O234" s="39"/>
      <c r="P234" s="39"/>
      <c r="Q234" s="39"/>
      <c r="R234" s="39"/>
      <c r="S234" s="39"/>
      <c r="T234" s="39"/>
      <c r="U234" s="39"/>
      <c r="V234" s="39">
        <v>68.14</v>
      </c>
      <c r="W234" s="60" t="s">
        <v>1682</v>
      </c>
    </row>
    <row r="235" spans="1:23" ht="51" x14ac:dyDescent="0.2">
      <c r="A235" s="1" t="s">
        <v>119</v>
      </c>
      <c r="B235" s="2" t="s">
        <v>48</v>
      </c>
      <c r="C235" s="2" t="s">
        <v>120</v>
      </c>
      <c r="D235" s="2" t="s">
        <v>121</v>
      </c>
      <c r="E235" s="2">
        <v>2021</v>
      </c>
      <c r="F235" s="2" t="s">
        <v>1776</v>
      </c>
      <c r="G235" s="2" t="s">
        <v>1667</v>
      </c>
      <c r="H235" s="2" t="s">
        <v>1669</v>
      </c>
      <c r="I235" s="1" t="s">
        <v>14</v>
      </c>
      <c r="J235" s="1" t="s">
        <v>2071</v>
      </c>
      <c r="L235" s="53">
        <v>0.22</v>
      </c>
      <c r="M235" s="39"/>
      <c r="N235" s="39"/>
      <c r="O235" s="39"/>
      <c r="P235" s="39"/>
      <c r="Q235" s="39"/>
      <c r="R235" s="39">
        <v>90.7</v>
      </c>
      <c r="S235" s="39"/>
      <c r="T235" s="39"/>
      <c r="U235" s="39"/>
      <c r="V235" s="39"/>
      <c r="W235" s="60" t="s">
        <v>2072</v>
      </c>
    </row>
    <row r="236" spans="1:23" ht="51" x14ac:dyDescent="0.2">
      <c r="A236" s="1" t="s">
        <v>119</v>
      </c>
      <c r="B236" s="2" t="s">
        <v>48</v>
      </c>
      <c r="C236" s="2" t="s">
        <v>120</v>
      </c>
      <c r="D236" s="2" t="s">
        <v>121</v>
      </c>
      <c r="E236" s="2">
        <v>2021</v>
      </c>
      <c r="F236" s="2" t="s">
        <v>1779</v>
      </c>
      <c r="G236" s="2" t="s">
        <v>1667</v>
      </c>
      <c r="H236" s="2" t="s">
        <v>1669</v>
      </c>
      <c r="I236" s="1" t="s">
        <v>14</v>
      </c>
      <c r="J236" s="1" t="s">
        <v>2073</v>
      </c>
      <c r="L236" s="53">
        <v>0.22</v>
      </c>
      <c r="M236" s="39"/>
      <c r="N236" s="39"/>
      <c r="O236" s="39"/>
      <c r="P236" s="39"/>
      <c r="Q236" s="39"/>
      <c r="R236" s="39">
        <v>90.7</v>
      </c>
      <c r="S236" s="39"/>
      <c r="T236" s="39"/>
      <c r="U236" s="39"/>
      <c r="V236" s="39"/>
      <c r="W236" s="60"/>
    </row>
    <row r="237" spans="1:23" ht="51" x14ac:dyDescent="0.2">
      <c r="A237" s="1" t="s">
        <v>119</v>
      </c>
      <c r="B237" s="2" t="s">
        <v>48</v>
      </c>
      <c r="C237" s="2" t="s">
        <v>120</v>
      </c>
      <c r="D237" s="2" t="s">
        <v>121</v>
      </c>
      <c r="E237" s="2">
        <v>2021</v>
      </c>
      <c r="F237" s="2" t="s">
        <v>1781</v>
      </c>
      <c r="G237" s="2" t="s">
        <v>1667</v>
      </c>
      <c r="H237" s="2" t="s">
        <v>1669</v>
      </c>
      <c r="I237" s="1" t="s">
        <v>14</v>
      </c>
      <c r="J237" s="1" t="s">
        <v>2074</v>
      </c>
      <c r="L237" s="53">
        <v>0.22800000000000001</v>
      </c>
      <c r="M237" s="39"/>
      <c r="N237" s="39"/>
      <c r="O237" s="39"/>
      <c r="P237" s="39"/>
      <c r="Q237" s="39"/>
      <c r="R237" s="39">
        <v>108.2</v>
      </c>
      <c r="S237" s="39"/>
      <c r="T237" s="39"/>
      <c r="U237" s="39"/>
      <c r="V237" s="39"/>
      <c r="W237" s="60"/>
    </row>
    <row r="238" spans="1:23" ht="51" x14ac:dyDescent="0.2">
      <c r="A238" s="1" t="s">
        <v>119</v>
      </c>
      <c r="B238" s="2" t="s">
        <v>48</v>
      </c>
      <c r="C238" s="2" t="s">
        <v>120</v>
      </c>
      <c r="D238" s="2" t="s">
        <v>121</v>
      </c>
      <c r="E238" s="2">
        <v>2021</v>
      </c>
      <c r="F238" s="2" t="s">
        <v>1783</v>
      </c>
      <c r="G238" s="2" t="s">
        <v>1667</v>
      </c>
      <c r="H238" s="2" t="s">
        <v>1669</v>
      </c>
      <c r="I238" s="1" t="s">
        <v>14</v>
      </c>
      <c r="J238" s="1" t="s">
        <v>2075</v>
      </c>
      <c r="L238" s="53">
        <v>0.23400000000000001</v>
      </c>
      <c r="M238" s="39"/>
      <c r="N238" s="39"/>
      <c r="O238" s="39"/>
      <c r="P238" s="39"/>
      <c r="Q238" s="39"/>
      <c r="R238" s="39">
        <v>114.3</v>
      </c>
      <c r="S238" s="39"/>
      <c r="T238" s="39"/>
      <c r="U238" s="39"/>
      <c r="V238" s="39"/>
      <c r="W238" s="60"/>
    </row>
    <row r="239" spans="1:23" ht="51" x14ac:dyDescent="0.2">
      <c r="A239" s="1" t="s">
        <v>119</v>
      </c>
      <c r="B239" s="2" t="s">
        <v>48</v>
      </c>
      <c r="C239" s="2" t="s">
        <v>120</v>
      </c>
      <c r="D239" s="2" t="s">
        <v>121</v>
      </c>
      <c r="E239" s="2">
        <v>2021</v>
      </c>
      <c r="F239" s="2" t="s">
        <v>1785</v>
      </c>
      <c r="G239" s="2" t="s">
        <v>1667</v>
      </c>
      <c r="H239" s="2" t="s">
        <v>1669</v>
      </c>
      <c r="I239" s="1" t="s">
        <v>14</v>
      </c>
      <c r="J239" s="1" t="s">
        <v>2076</v>
      </c>
      <c r="L239" s="53">
        <v>0.22800000000000001</v>
      </c>
      <c r="M239" s="39"/>
      <c r="N239" s="39"/>
      <c r="O239" s="39"/>
      <c r="P239" s="39"/>
      <c r="Q239" s="39"/>
      <c r="R239" s="39">
        <v>118.5</v>
      </c>
      <c r="S239" s="39"/>
      <c r="T239" s="39"/>
      <c r="U239" s="39"/>
      <c r="V239" s="39"/>
      <c r="W239" s="60"/>
    </row>
    <row r="240" spans="1:23" ht="51" x14ac:dyDescent="0.2">
      <c r="A240" s="1" t="s">
        <v>119</v>
      </c>
      <c r="B240" s="2" t="s">
        <v>48</v>
      </c>
      <c r="C240" s="2" t="s">
        <v>120</v>
      </c>
      <c r="D240" s="2" t="s">
        <v>121</v>
      </c>
      <c r="E240" s="2">
        <v>2021</v>
      </c>
      <c r="F240" s="2" t="s">
        <v>1787</v>
      </c>
      <c r="G240" s="2" t="s">
        <v>1667</v>
      </c>
      <c r="H240" s="2" t="s">
        <v>1669</v>
      </c>
      <c r="I240" s="1" t="s">
        <v>14</v>
      </c>
      <c r="J240" s="1" t="s">
        <v>2077</v>
      </c>
      <c r="L240" s="53">
        <v>0.23200000000000001</v>
      </c>
      <c r="M240" s="39"/>
      <c r="N240" s="39"/>
      <c r="O240" s="39"/>
      <c r="P240" s="39"/>
      <c r="Q240" s="39"/>
      <c r="R240" s="39">
        <v>102.5</v>
      </c>
      <c r="S240" s="39"/>
      <c r="T240" s="39"/>
      <c r="U240" s="39"/>
      <c r="V240" s="39"/>
      <c r="W240" s="60"/>
    </row>
    <row r="241" spans="1:23" ht="51" x14ac:dyDescent="0.2">
      <c r="A241" s="1" t="s">
        <v>119</v>
      </c>
      <c r="B241" s="2" t="s">
        <v>48</v>
      </c>
      <c r="C241" s="2" t="s">
        <v>120</v>
      </c>
      <c r="D241" s="2" t="s">
        <v>121</v>
      </c>
      <c r="E241" s="2">
        <v>2021</v>
      </c>
      <c r="F241" s="2" t="s">
        <v>1789</v>
      </c>
      <c r="G241" s="2" t="s">
        <v>1667</v>
      </c>
      <c r="H241" s="2" t="s">
        <v>1669</v>
      </c>
      <c r="I241" s="1" t="s">
        <v>14</v>
      </c>
      <c r="J241" s="1" t="s">
        <v>2078</v>
      </c>
      <c r="L241" s="53">
        <v>0.24099999999999999</v>
      </c>
      <c r="M241" s="39"/>
      <c r="N241" s="39"/>
      <c r="O241" s="39"/>
      <c r="P241" s="39"/>
      <c r="Q241" s="39"/>
      <c r="R241" s="39">
        <v>100.6</v>
      </c>
      <c r="S241" s="39"/>
      <c r="T241" s="39"/>
      <c r="U241" s="39"/>
      <c r="V241" s="39"/>
      <c r="W241" s="60"/>
    </row>
    <row r="242" spans="1:23" ht="51" x14ac:dyDescent="0.2">
      <c r="A242" s="1" t="s">
        <v>119</v>
      </c>
      <c r="B242" s="2" t="s">
        <v>48</v>
      </c>
      <c r="C242" s="2" t="s">
        <v>120</v>
      </c>
      <c r="D242" s="2" t="s">
        <v>121</v>
      </c>
      <c r="E242" s="2">
        <v>2021</v>
      </c>
      <c r="F242" s="2" t="s">
        <v>1791</v>
      </c>
      <c r="G242" s="2" t="s">
        <v>1667</v>
      </c>
      <c r="H242" s="2" t="s">
        <v>1669</v>
      </c>
      <c r="I242" s="1" t="s">
        <v>14</v>
      </c>
      <c r="J242" s="1" t="s">
        <v>2079</v>
      </c>
      <c r="L242" s="53">
        <v>0.22900000000000001</v>
      </c>
      <c r="M242" s="39"/>
      <c r="N242" s="39"/>
      <c r="O242" s="39"/>
      <c r="P242" s="39"/>
      <c r="Q242" s="39"/>
      <c r="R242" s="39">
        <v>74.5</v>
      </c>
      <c r="S242" s="39"/>
      <c r="T242" s="39"/>
      <c r="U242" s="39"/>
      <c r="V242" s="39"/>
      <c r="W242" s="60"/>
    </row>
    <row r="243" spans="1:23" ht="51" x14ac:dyDescent="0.2">
      <c r="A243" s="1" t="s">
        <v>119</v>
      </c>
      <c r="B243" s="2" t="s">
        <v>48</v>
      </c>
      <c r="C243" s="2" t="s">
        <v>120</v>
      </c>
      <c r="D243" s="2" t="s">
        <v>121</v>
      </c>
      <c r="E243" s="2">
        <v>2021</v>
      </c>
      <c r="F243" s="2" t="s">
        <v>311</v>
      </c>
      <c r="G243" s="2" t="s">
        <v>1667</v>
      </c>
      <c r="H243" s="2" t="s">
        <v>1669</v>
      </c>
      <c r="I243" s="1" t="s">
        <v>14</v>
      </c>
      <c r="J243" s="1" t="s">
        <v>2080</v>
      </c>
      <c r="L243" s="53">
        <v>0.22500000000000001</v>
      </c>
      <c r="M243" s="39"/>
      <c r="N243" s="39"/>
      <c r="O243" s="39"/>
      <c r="P243" s="39"/>
      <c r="Q243" s="39"/>
      <c r="R243" s="39">
        <v>68.400000000000006</v>
      </c>
      <c r="S243" s="39"/>
      <c r="T243" s="39"/>
      <c r="U243" s="39"/>
      <c r="V243" s="39"/>
      <c r="W243" s="60"/>
    </row>
    <row r="244" spans="1:23" ht="51" x14ac:dyDescent="0.2">
      <c r="A244" s="1" t="s">
        <v>119</v>
      </c>
      <c r="B244" s="2" t="s">
        <v>48</v>
      </c>
      <c r="C244" s="2" t="s">
        <v>120</v>
      </c>
      <c r="D244" s="2" t="s">
        <v>121</v>
      </c>
      <c r="E244" s="2">
        <v>2021</v>
      </c>
      <c r="F244" s="2" t="s">
        <v>1794</v>
      </c>
      <c r="G244" s="2" t="s">
        <v>1667</v>
      </c>
      <c r="H244" s="2" t="s">
        <v>1669</v>
      </c>
      <c r="I244" s="1" t="s">
        <v>14</v>
      </c>
      <c r="J244" s="1" t="s">
        <v>2081</v>
      </c>
      <c r="L244" s="53">
        <v>0.223</v>
      </c>
      <c r="M244" s="39"/>
      <c r="N244" s="39"/>
      <c r="O244" s="39"/>
      <c r="P244" s="39"/>
      <c r="Q244" s="39"/>
      <c r="R244" s="39">
        <v>101</v>
      </c>
      <c r="S244" s="39"/>
      <c r="T244" s="39"/>
      <c r="U244" s="39"/>
      <c r="V244" s="39"/>
      <c r="W244" s="60"/>
    </row>
    <row r="245" spans="1:23" ht="51" x14ac:dyDescent="0.2">
      <c r="A245" s="1" t="s">
        <v>119</v>
      </c>
      <c r="B245" s="2" t="s">
        <v>48</v>
      </c>
      <c r="C245" s="2" t="s">
        <v>120</v>
      </c>
      <c r="D245" s="2" t="s">
        <v>121</v>
      </c>
      <c r="E245" s="2">
        <v>2021</v>
      </c>
      <c r="F245" s="2" t="s">
        <v>1796</v>
      </c>
      <c r="G245" s="2" t="s">
        <v>1667</v>
      </c>
      <c r="H245" s="2" t="s">
        <v>1669</v>
      </c>
      <c r="I245" s="1" t="s">
        <v>14</v>
      </c>
      <c r="J245" s="1" t="s">
        <v>2082</v>
      </c>
      <c r="L245" s="53">
        <v>0.22600000000000001</v>
      </c>
      <c r="M245" s="39"/>
      <c r="N245" s="39"/>
      <c r="O245" s="39"/>
      <c r="P245" s="39"/>
      <c r="Q245" s="39"/>
      <c r="R245" s="39">
        <v>90.9</v>
      </c>
      <c r="S245" s="39"/>
      <c r="T245" s="39"/>
      <c r="U245" s="39"/>
      <c r="V245" s="39"/>
      <c r="W245" s="60"/>
    </row>
    <row r="246" spans="1:23" ht="51" x14ac:dyDescent="0.2">
      <c r="A246" s="1" t="s">
        <v>119</v>
      </c>
      <c r="B246" s="2" t="s">
        <v>48</v>
      </c>
      <c r="C246" s="2" t="s">
        <v>120</v>
      </c>
      <c r="D246" s="2" t="s">
        <v>121</v>
      </c>
      <c r="E246" s="2">
        <v>2021</v>
      </c>
      <c r="F246" s="2" t="s">
        <v>1798</v>
      </c>
      <c r="G246" s="2" t="s">
        <v>1667</v>
      </c>
      <c r="H246" s="2" t="s">
        <v>1669</v>
      </c>
      <c r="I246" s="1" t="s">
        <v>14</v>
      </c>
      <c r="J246" s="1" t="s">
        <v>2083</v>
      </c>
      <c r="L246" s="53">
        <v>0.23</v>
      </c>
      <c r="M246" s="39"/>
      <c r="N246" s="39"/>
      <c r="O246" s="39"/>
      <c r="P246" s="39"/>
      <c r="Q246" s="39"/>
      <c r="R246" s="39">
        <v>87.2</v>
      </c>
      <c r="S246" s="39"/>
      <c r="T246" s="39"/>
      <c r="U246" s="39"/>
      <c r="V246" s="39"/>
      <c r="W246" s="60"/>
    </row>
    <row r="247" spans="1:23" ht="25.5" x14ac:dyDescent="0.2">
      <c r="A247" s="1" t="s">
        <v>2084</v>
      </c>
      <c r="B247" s="2" t="s">
        <v>222</v>
      </c>
      <c r="C247" s="2" t="s">
        <v>2085</v>
      </c>
      <c r="D247" s="2" t="s">
        <v>2086</v>
      </c>
      <c r="E247" s="2">
        <v>2021</v>
      </c>
      <c r="F247" s="2" t="s">
        <v>1794</v>
      </c>
      <c r="G247" s="2" t="s">
        <v>1669</v>
      </c>
      <c r="H247" s="2" t="s">
        <v>1669</v>
      </c>
      <c r="I247" s="1" t="s">
        <v>2087</v>
      </c>
      <c r="J247" s="1" t="s">
        <v>2088</v>
      </c>
      <c r="L247" s="53">
        <v>2.9000000000000001E-2</v>
      </c>
      <c r="M247" s="39"/>
      <c r="N247" s="39"/>
      <c r="O247" s="39"/>
      <c r="P247" s="39"/>
      <c r="Q247" s="39"/>
      <c r="R247" s="39"/>
      <c r="S247" s="39"/>
      <c r="T247" s="39"/>
      <c r="U247" s="39"/>
      <c r="V247" s="39">
        <v>580</v>
      </c>
      <c r="W247" s="60" t="s">
        <v>1682</v>
      </c>
    </row>
    <row r="248" spans="1:23" ht="25.5" x14ac:dyDescent="0.2">
      <c r="A248" s="1" t="s">
        <v>174</v>
      </c>
      <c r="B248" s="2" t="s">
        <v>16</v>
      </c>
      <c r="C248" s="2" t="s">
        <v>175</v>
      </c>
      <c r="D248" s="2" t="s">
        <v>132</v>
      </c>
      <c r="E248" s="2">
        <v>2021</v>
      </c>
      <c r="F248" s="2" t="s">
        <v>1776</v>
      </c>
      <c r="G248" s="2" t="s">
        <v>1667</v>
      </c>
      <c r="H248" s="2" t="s">
        <v>1669</v>
      </c>
      <c r="I248" s="1" t="s">
        <v>14</v>
      </c>
      <c r="J248" s="1" t="s">
        <v>2089</v>
      </c>
      <c r="L248" s="53">
        <v>0.26269999999999999</v>
      </c>
      <c r="M248" s="39"/>
      <c r="N248" s="39"/>
      <c r="O248" s="39"/>
      <c r="P248" s="39"/>
      <c r="Q248" s="39"/>
      <c r="R248" s="39"/>
      <c r="S248" s="39">
        <f>51*0.8</f>
        <v>40.800000000000004</v>
      </c>
      <c r="T248" s="3"/>
      <c r="U248" s="39"/>
      <c r="V248" s="39"/>
      <c r="W248" s="60" t="s">
        <v>1680</v>
      </c>
    </row>
    <row r="249" spans="1:23" ht="25.5" x14ac:dyDescent="0.2">
      <c r="A249" s="1" t="s">
        <v>174</v>
      </c>
      <c r="B249" s="2" t="s">
        <v>16</v>
      </c>
      <c r="C249" s="2" t="s">
        <v>175</v>
      </c>
      <c r="D249" s="2" t="s">
        <v>132</v>
      </c>
      <c r="E249" s="2">
        <v>2021</v>
      </c>
      <c r="F249" s="2" t="s">
        <v>1779</v>
      </c>
      <c r="G249" s="2" t="s">
        <v>1667</v>
      </c>
      <c r="H249" s="2" t="s">
        <v>1669</v>
      </c>
      <c r="I249" s="1" t="s">
        <v>14</v>
      </c>
      <c r="J249" s="1" t="s">
        <v>2090</v>
      </c>
      <c r="L249" s="53">
        <v>0.28249999999999997</v>
      </c>
      <c r="M249" s="39"/>
      <c r="N249" s="39"/>
      <c r="O249" s="39"/>
      <c r="P249" s="39"/>
      <c r="Q249" s="39"/>
      <c r="R249" s="39"/>
      <c r="S249" s="39">
        <f>46.5*0.8</f>
        <v>37.200000000000003</v>
      </c>
      <c r="T249" s="3"/>
      <c r="U249" s="39"/>
      <c r="V249" s="39"/>
      <c r="W249" s="60" t="s">
        <v>1680</v>
      </c>
    </row>
    <row r="250" spans="1:23" ht="25.5" x14ac:dyDescent="0.2">
      <c r="A250" s="1" t="s">
        <v>174</v>
      </c>
      <c r="B250" s="2" t="s">
        <v>16</v>
      </c>
      <c r="C250" s="2" t="s">
        <v>175</v>
      </c>
      <c r="D250" s="2" t="s">
        <v>132</v>
      </c>
      <c r="E250" s="2">
        <v>2021</v>
      </c>
      <c r="F250" s="2" t="s">
        <v>1781</v>
      </c>
      <c r="G250" s="2" t="s">
        <v>1667</v>
      </c>
      <c r="H250" s="2" t="s">
        <v>1669</v>
      </c>
      <c r="I250" s="1" t="s">
        <v>14</v>
      </c>
      <c r="J250" s="1" t="s">
        <v>2091</v>
      </c>
      <c r="L250" s="53">
        <v>0.26690000000000003</v>
      </c>
      <c r="M250" s="39"/>
      <c r="N250" s="39"/>
      <c r="O250" s="39"/>
      <c r="P250" s="39"/>
      <c r="Q250" s="39"/>
      <c r="R250" s="39"/>
      <c r="S250" s="39">
        <f>63*0.8</f>
        <v>50.400000000000006</v>
      </c>
      <c r="T250" s="3"/>
      <c r="U250" s="39"/>
      <c r="V250" s="39"/>
      <c r="W250" s="60" t="s">
        <v>1680</v>
      </c>
    </row>
    <row r="251" spans="1:23" ht="25.5" x14ac:dyDescent="0.2">
      <c r="A251" s="1" t="s">
        <v>174</v>
      </c>
      <c r="B251" s="2" t="s">
        <v>16</v>
      </c>
      <c r="C251" s="2" t="s">
        <v>175</v>
      </c>
      <c r="D251" s="2" t="s">
        <v>132</v>
      </c>
      <c r="E251" s="2">
        <v>2021</v>
      </c>
      <c r="F251" s="2" t="s">
        <v>1783</v>
      </c>
      <c r="G251" s="2" t="s">
        <v>1667</v>
      </c>
      <c r="H251" s="2" t="s">
        <v>1669</v>
      </c>
      <c r="I251" s="1" t="s">
        <v>14</v>
      </c>
      <c r="J251" s="1" t="s">
        <v>2092</v>
      </c>
      <c r="L251" s="53">
        <v>0.24590000000000001</v>
      </c>
      <c r="M251" s="39"/>
      <c r="N251" s="39"/>
      <c r="O251" s="39"/>
      <c r="P251" s="39"/>
      <c r="Q251" s="39"/>
      <c r="R251" s="39"/>
      <c r="S251" s="39">
        <f>49*0.8</f>
        <v>39.200000000000003</v>
      </c>
      <c r="T251" s="3"/>
      <c r="U251" s="39"/>
      <c r="V251" s="39"/>
      <c r="W251" s="60" t="s">
        <v>1680</v>
      </c>
    </row>
    <row r="252" spans="1:23" ht="25.5" x14ac:dyDescent="0.2">
      <c r="A252" s="1" t="s">
        <v>174</v>
      </c>
      <c r="B252" s="2" t="s">
        <v>16</v>
      </c>
      <c r="C252" s="2" t="s">
        <v>175</v>
      </c>
      <c r="D252" s="2" t="s">
        <v>132</v>
      </c>
      <c r="E252" s="2">
        <v>2021</v>
      </c>
      <c r="F252" s="2" t="s">
        <v>1785</v>
      </c>
      <c r="G252" s="2" t="s">
        <v>1667</v>
      </c>
      <c r="H252" s="2" t="s">
        <v>1669</v>
      </c>
      <c r="I252" s="1" t="s">
        <v>14</v>
      </c>
      <c r="J252" s="1" t="s">
        <v>2093</v>
      </c>
      <c r="L252" s="53">
        <v>0.24179999999999999</v>
      </c>
      <c r="M252" s="39"/>
      <c r="N252" s="39"/>
      <c r="O252" s="39"/>
      <c r="P252" s="39"/>
      <c r="Q252" s="39"/>
      <c r="R252" s="39"/>
      <c r="S252" s="39">
        <f>63*0.8</f>
        <v>50.400000000000006</v>
      </c>
      <c r="T252" s="3"/>
      <c r="U252" s="39"/>
      <c r="V252" s="39"/>
      <c r="W252" s="60" t="s">
        <v>1680</v>
      </c>
    </row>
    <row r="253" spans="1:23" ht="25.5" x14ac:dyDescent="0.2">
      <c r="A253" s="1" t="s">
        <v>174</v>
      </c>
      <c r="B253" s="2" t="s">
        <v>16</v>
      </c>
      <c r="C253" s="2" t="s">
        <v>175</v>
      </c>
      <c r="D253" s="2" t="s">
        <v>132</v>
      </c>
      <c r="E253" s="2">
        <v>2021</v>
      </c>
      <c r="F253" s="2" t="s">
        <v>1787</v>
      </c>
      <c r="G253" s="2" t="s">
        <v>1667</v>
      </c>
      <c r="H253" s="2" t="s">
        <v>1669</v>
      </c>
      <c r="I253" s="1" t="s">
        <v>14</v>
      </c>
      <c r="J253" s="1" t="s">
        <v>2094</v>
      </c>
      <c r="L253" s="53">
        <v>0.2419</v>
      </c>
      <c r="M253" s="39"/>
      <c r="N253" s="39"/>
      <c r="O253" s="39"/>
      <c r="P253" s="39"/>
      <c r="Q253" s="39"/>
      <c r="R253" s="39"/>
      <c r="S253" s="39">
        <f>69*0.8</f>
        <v>55.2</v>
      </c>
      <c r="T253" s="3"/>
      <c r="U253" s="39"/>
      <c r="V253" s="39"/>
      <c r="W253" s="60" t="s">
        <v>1680</v>
      </c>
    </row>
    <row r="254" spans="1:23" ht="25.5" x14ac:dyDescent="0.2">
      <c r="A254" s="1" t="s">
        <v>174</v>
      </c>
      <c r="B254" s="2" t="s">
        <v>16</v>
      </c>
      <c r="C254" s="2" t="s">
        <v>175</v>
      </c>
      <c r="D254" s="2" t="s">
        <v>132</v>
      </c>
      <c r="E254" s="2">
        <v>2021</v>
      </c>
      <c r="F254" s="2" t="s">
        <v>1789</v>
      </c>
      <c r="G254" s="2" t="s">
        <v>1667</v>
      </c>
      <c r="H254" s="2" t="s">
        <v>1669</v>
      </c>
      <c r="I254" s="1" t="s">
        <v>14</v>
      </c>
      <c r="J254" s="1" t="s">
        <v>2095</v>
      </c>
      <c r="L254" s="53">
        <v>0.2482</v>
      </c>
      <c r="M254" s="39"/>
      <c r="N254" s="39"/>
      <c r="O254" s="39"/>
      <c r="P254" s="39"/>
      <c r="Q254" s="39"/>
      <c r="R254" s="39"/>
      <c r="S254" s="39">
        <f>70.5*0.8</f>
        <v>56.400000000000006</v>
      </c>
      <c r="T254" s="3"/>
      <c r="U254" s="39"/>
      <c r="V254" s="39"/>
      <c r="W254" s="60" t="s">
        <v>1680</v>
      </c>
    </row>
    <row r="255" spans="1:23" ht="25.5" x14ac:dyDescent="0.2">
      <c r="A255" s="1" t="s">
        <v>174</v>
      </c>
      <c r="B255" s="2" t="s">
        <v>16</v>
      </c>
      <c r="C255" s="2" t="s">
        <v>175</v>
      </c>
      <c r="D255" s="2" t="s">
        <v>132</v>
      </c>
      <c r="E255" s="2">
        <v>2021</v>
      </c>
      <c r="F255" s="2" t="s">
        <v>1791</v>
      </c>
      <c r="G255" s="2" t="s">
        <v>1667</v>
      </c>
      <c r="H255" s="2" t="s">
        <v>1669</v>
      </c>
      <c r="I255" s="1" t="s">
        <v>14</v>
      </c>
      <c r="J255" s="1" t="s">
        <v>2096</v>
      </c>
      <c r="L255" s="53">
        <v>0.27900000000000003</v>
      </c>
      <c r="M255" s="39"/>
      <c r="N255" s="39"/>
      <c r="O255" s="39"/>
      <c r="P255" s="39"/>
      <c r="Q255" s="39"/>
      <c r="R255" s="39"/>
      <c r="S255" s="39">
        <f>66.5*0.8</f>
        <v>53.2</v>
      </c>
      <c r="T255" s="3"/>
      <c r="U255" s="39"/>
      <c r="V255" s="39"/>
      <c r="W255" s="60" t="s">
        <v>1680</v>
      </c>
    </row>
    <row r="256" spans="1:23" ht="25.5" x14ac:dyDescent="0.2">
      <c r="A256" s="1" t="s">
        <v>174</v>
      </c>
      <c r="B256" s="2" t="s">
        <v>16</v>
      </c>
      <c r="C256" s="2" t="s">
        <v>175</v>
      </c>
      <c r="D256" s="2" t="s">
        <v>132</v>
      </c>
      <c r="E256" s="2">
        <v>2021</v>
      </c>
      <c r="F256" s="2" t="s">
        <v>311</v>
      </c>
      <c r="G256" s="2" t="s">
        <v>1667</v>
      </c>
      <c r="H256" s="2" t="s">
        <v>1669</v>
      </c>
      <c r="I256" s="1" t="s">
        <v>14</v>
      </c>
      <c r="J256" s="1" t="s">
        <v>2097</v>
      </c>
      <c r="L256" s="53">
        <v>0.27229999999999999</v>
      </c>
      <c r="M256" s="39"/>
      <c r="N256" s="39"/>
      <c r="O256" s="39"/>
      <c r="P256" s="39"/>
      <c r="Q256" s="39"/>
      <c r="R256" s="39"/>
      <c r="S256" s="39">
        <f>56*0.8</f>
        <v>44.800000000000004</v>
      </c>
      <c r="T256" s="3"/>
      <c r="U256" s="39"/>
      <c r="V256" s="39"/>
      <c r="W256" s="60" t="s">
        <v>1680</v>
      </c>
    </row>
    <row r="257" spans="1:23" ht="25.5" x14ac:dyDescent="0.2">
      <c r="A257" s="1" t="s">
        <v>174</v>
      </c>
      <c r="B257" s="2" t="s">
        <v>16</v>
      </c>
      <c r="C257" s="2" t="s">
        <v>175</v>
      </c>
      <c r="D257" s="2" t="s">
        <v>132</v>
      </c>
      <c r="E257" s="2">
        <v>2021</v>
      </c>
      <c r="F257" s="2" t="s">
        <v>1794</v>
      </c>
      <c r="G257" s="2" t="s">
        <v>1667</v>
      </c>
      <c r="H257" s="2" t="s">
        <v>1669</v>
      </c>
      <c r="I257" s="1" t="s">
        <v>14</v>
      </c>
      <c r="J257" s="1" t="s">
        <v>2098</v>
      </c>
      <c r="L257" s="53">
        <v>0.24479999999999999</v>
      </c>
      <c r="M257" s="39"/>
      <c r="N257" s="39"/>
      <c r="O257" s="39"/>
      <c r="P257" s="39"/>
      <c r="Q257" s="39"/>
      <c r="R257" s="39"/>
      <c r="S257" s="39">
        <f>51*0.8</f>
        <v>40.800000000000004</v>
      </c>
      <c r="T257" s="3"/>
      <c r="U257" s="39"/>
      <c r="V257" s="39"/>
      <c r="W257" s="60" t="s">
        <v>1680</v>
      </c>
    </row>
    <row r="258" spans="1:23" ht="25.5" x14ac:dyDescent="0.2">
      <c r="A258" s="1" t="s">
        <v>174</v>
      </c>
      <c r="B258" s="2" t="s">
        <v>16</v>
      </c>
      <c r="C258" s="2" t="s">
        <v>175</v>
      </c>
      <c r="D258" s="2" t="s">
        <v>132</v>
      </c>
      <c r="E258" s="2">
        <v>2021</v>
      </c>
      <c r="F258" s="2" t="s">
        <v>1796</v>
      </c>
      <c r="G258" s="2" t="s">
        <v>1667</v>
      </c>
      <c r="H258" s="2" t="s">
        <v>1669</v>
      </c>
      <c r="I258" s="1" t="s">
        <v>14</v>
      </c>
      <c r="J258" s="1" t="s">
        <v>2099</v>
      </c>
      <c r="L258" s="53">
        <v>0.2331</v>
      </c>
      <c r="M258" s="39"/>
      <c r="N258" s="39"/>
      <c r="O258" s="39"/>
      <c r="P258" s="39"/>
      <c r="Q258" s="39"/>
      <c r="R258" s="39"/>
      <c r="S258" s="39">
        <f>66*0.8</f>
        <v>52.800000000000004</v>
      </c>
      <c r="T258" s="3"/>
      <c r="U258" s="39"/>
      <c r="V258" s="39"/>
      <c r="W258" s="60" t="s">
        <v>1680</v>
      </c>
    </row>
    <row r="259" spans="1:23" ht="25.5" x14ac:dyDescent="0.2">
      <c r="A259" s="1" t="s">
        <v>174</v>
      </c>
      <c r="B259" s="2" t="s">
        <v>16</v>
      </c>
      <c r="C259" s="2" t="s">
        <v>175</v>
      </c>
      <c r="D259" s="2" t="s">
        <v>132</v>
      </c>
      <c r="E259" s="2">
        <v>2021</v>
      </c>
      <c r="F259" s="2" t="s">
        <v>1798</v>
      </c>
      <c r="G259" s="2" t="s">
        <v>1667</v>
      </c>
      <c r="H259" s="2" t="s">
        <v>1669</v>
      </c>
      <c r="I259" s="1" t="s">
        <v>14</v>
      </c>
      <c r="J259" s="1" t="s">
        <v>2100</v>
      </c>
      <c r="L259" s="53">
        <v>0.25019999999999998</v>
      </c>
      <c r="M259" s="39"/>
      <c r="N259" s="39"/>
      <c r="O259" s="39"/>
      <c r="P259" s="39"/>
      <c r="Q259" s="39"/>
      <c r="R259" s="39"/>
      <c r="S259" s="39">
        <f>52.5*0.8</f>
        <v>42</v>
      </c>
      <c r="T259" s="3"/>
      <c r="U259" s="39"/>
      <c r="V259" s="39"/>
      <c r="W259" s="60" t="s">
        <v>1680</v>
      </c>
    </row>
    <row r="260" spans="1:23" ht="63.75" x14ac:dyDescent="0.2">
      <c r="A260" s="1" t="s">
        <v>41</v>
      </c>
      <c r="B260" s="2" t="s">
        <v>38</v>
      </c>
      <c r="C260" s="2" t="s">
        <v>42</v>
      </c>
      <c r="D260" s="2" t="s">
        <v>43</v>
      </c>
      <c r="E260" s="2">
        <v>2021</v>
      </c>
      <c r="F260" s="2" t="s">
        <v>1776</v>
      </c>
      <c r="G260" s="2" t="s">
        <v>1667</v>
      </c>
      <c r="H260" s="2" t="s">
        <v>1669</v>
      </c>
      <c r="I260" s="1" t="s">
        <v>14</v>
      </c>
      <c r="J260" s="1" t="s">
        <v>2101</v>
      </c>
      <c r="L260" s="53">
        <v>0.2258</v>
      </c>
      <c r="M260" s="3"/>
      <c r="N260" s="39"/>
      <c r="O260" s="39">
        <v>1911.93</v>
      </c>
      <c r="P260" s="39"/>
      <c r="Q260" s="39"/>
      <c r="R260" s="39"/>
      <c r="S260" s="39"/>
      <c r="T260" s="39"/>
      <c r="U260" s="39"/>
      <c r="V260" s="39"/>
      <c r="W260" s="60" t="s">
        <v>3078</v>
      </c>
    </row>
    <row r="261" spans="1:23" ht="76.5" x14ac:dyDescent="0.2">
      <c r="A261" s="1" t="s">
        <v>41</v>
      </c>
      <c r="B261" s="2" t="s">
        <v>38</v>
      </c>
      <c r="C261" s="2" t="s">
        <v>42</v>
      </c>
      <c r="D261" s="2" t="s">
        <v>43</v>
      </c>
      <c r="E261" s="2">
        <v>2021</v>
      </c>
      <c r="F261" s="2" t="s">
        <v>1779</v>
      </c>
      <c r="G261" s="2" t="s">
        <v>1667</v>
      </c>
      <c r="H261" s="2" t="s">
        <v>1669</v>
      </c>
      <c r="I261" s="1" t="s">
        <v>14</v>
      </c>
      <c r="J261" s="1" t="s">
        <v>2102</v>
      </c>
      <c r="L261" s="53">
        <v>0.23319999999999999</v>
      </c>
      <c r="M261" s="3"/>
      <c r="N261" s="39"/>
      <c r="O261" s="39">
        <v>1274</v>
      </c>
      <c r="P261" s="39"/>
      <c r="Q261" s="39"/>
      <c r="R261" s="39"/>
      <c r="S261" s="39"/>
      <c r="T261" s="39"/>
      <c r="U261" s="39"/>
      <c r="V261" s="39"/>
      <c r="W261" s="60" t="s">
        <v>3078</v>
      </c>
    </row>
    <row r="262" spans="1:23" ht="63.75" x14ac:dyDescent="0.2">
      <c r="A262" s="1" t="s">
        <v>41</v>
      </c>
      <c r="B262" s="2" t="s">
        <v>38</v>
      </c>
      <c r="C262" s="2" t="s">
        <v>42</v>
      </c>
      <c r="D262" s="2" t="s">
        <v>43</v>
      </c>
      <c r="E262" s="2">
        <v>2021</v>
      </c>
      <c r="F262" s="2" t="s">
        <v>1781</v>
      </c>
      <c r="G262" s="2" t="s">
        <v>1667</v>
      </c>
      <c r="H262" s="2" t="s">
        <v>1669</v>
      </c>
      <c r="I262" s="1" t="s">
        <v>14</v>
      </c>
      <c r="J262" s="1" t="s">
        <v>2103</v>
      </c>
      <c r="L262" s="53">
        <v>0.2321</v>
      </c>
      <c r="M262" s="3"/>
      <c r="N262" s="39"/>
      <c r="O262" s="39">
        <v>212.72</v>
      </c>
      <c r="P262" s="39"/>
      <c r="Q262" s="39"/>
      <c r="R262" s="39"/>
      <c r="S262" s="39"/>
      <c r="T262" s="39"/>
      <c r="U262" s="39"/>
      <c r="V262" s="39"/>
      <c r="W262" s="60" t="s">
        <v>3078</v>
      </c>
    </row>
    <row r="263" spans="1:23" ht="63.75" x14ac:dyDescent="0.2">
      <c r="A263" s="1" t="s">
        <v>41</v>
      </c>
      <c r="B263" s="2" t="s">
        <v>38</v>
      </c>
      <c r="C263" s="2" t="s">
        <v>42</v>
      </c>
      <c r="D263" s="2" t="s">
        <v>43</v>
      </c>
      <c r="E263" s="2">
        <v>2021</v>
      </c>
      <c r="F263" s="2" t="s">
        <v>1783</v>
      </c>
      <c r="G263" s="2" t="s">
        <v>1667</v>
      </c>
      <c r="H263" s="2" t="s">
        <v>1669</v>
      </c>
      <c r="I263" s="1" t="s">
        <v>14</v>
      </c>
      <c r="J263" s="1" t="s">
        <v>2104</v>
      </c>
      <c r="L263" s="53">
        <v>0.2422</v>
      </c>
      <c r="M263" s="3"/>
      <c r="N263" s="39"/>
      <c r="O263" s="39">
        <v>206.37</v>
      </c>
      <c r="P263" s="39"/>
      <c r="Q263" s="39"/>
      <c r="R263" s="39"/>
      <c r="S263" s="39"/>
      <c r="T263" s="39"/>
      <c r="U263" s="39"/>
      <c r="V263" s="39"/>
      <c r="W263" s="60" t="s">
        <v>3078</v>
      </c>
    </row>
    <row r="264" spans="1:23" ht="51" x14ac:dyDescent="0.2">
      <c r="A264" s="1" t="s">
        <v>41</v>
      </c>
      <c r="B264" s="2" t="s">
        <v>38</v>
      </c>
      <c r="C264" s="2" t="s">
        <v>42</v>
      </c>
      <c r="D264" s="2" t="s">
        <v>43</v>
      </c>
      <c r="E264" s="2">
        <v>2021</v>
      </c>
      <c r="F264" s="2" t="s">
        <v>1785</v>
      </c>
      <c r="G264" s="2" t="s">
        <v>1667</v>
      </c>
      <c r="H264" s="2" t="s">
        <v>1669</v>
      </c>
      <c r="I264" s="1" t="s">
        <v>14</v>
      </c>
      <c r="J264" s="1" t="s">
        <v>2105</v>
      </c>
      <c r="L264" s="78" t="s">
        <v>2106</v>
      </c>
      <c r="M264" s="39"/>
      <c r="N264" s="39"/>
      <c r="O264" s="39">
        <f>285.8+157.75</f>
        <v>443.55</v>
      </c>
      <c r="P264" s="39"/>
      <c r="Q264" s="39"/>
      <c r="R264" s="39"/>
      <c r="S264" s="39"/>
      <c r="T264" s="39"/>
      <c r="U264" s="39"/>
      <c r="V264" s="39"/>
      <c r="W264" s="60" t="s">
        <v>3078</v>
      </c>
    </row>
    <row r="265" spans="1:23" ht="51" x14ac:dyDescent="0.2">
      <c r="A265" s="1" t="s">
        <v>41</v>
      </c>
      <c r="B265" s="2" t="s">
        <v>38</v>
      </c>
      <c r="C265" s="2" t="s">
        <v>42</v>
      </c>
      <c r="D265" s="2" t="s">
        <v>43</v>
      </c>
      <c r="E265" s="2">
        <v>2021</v>
      </c>
      <c r="F265" s="2" t="s">
        <v>1787</v>
      </c>
      <c r="G265" s="2" t="s">
        <v>1667</v>
      </c>
      <c r="H265" s="2" t="s">
        <v>1669</v>
      </c>
      <c r="I265" s="1" t="s">
        <v>14</v>
      </c>
      <c r="J265" s="1" t="s">
        <v>2105</v>
      </c>
      <c r="L265" s="54" t="s">
        <v>2106</v>
      </c>
      <c r="M265" s="39"/>
      <c r="N265" s="39"/>
      <c r="O265" s="39">
        <f>285.8+157.75</f>
        <v>443.55</v>
      </c>
      <c r="P265" s="39"/>
      <c r="Q265" s="39"/>
      <c r="R265" s="39"/>
      <c r="S265" s="39"/>
      <c r="T265" s="39"/>
      <c r="U265" s="39"/>
      <c r="V265" s="39"/>
      <c r="W265" s="60" t="s">
        <v>3078</v>
      </c>
    </row>
    <row r="266" spans="1:23" ht="51" x14ac:dyDescent="0.2">
      <c r="A266" s="1" t="s">
        <v>41</v>
      </c>
      <c r="B266" s="2" t="s">
        <v>38</v>
      </c>
      <c r="C266" s="2" t="s">
        <v>42</v>
      </c>
      <c r="D266" s="2" t="s">
        <v>43</v>
      </c>
      <c r="E266" s="2">
        <v>2021</v>
      </c>
      <c r="F266" s="2" t="s">
        <v>1789</v>
      </c>
      <c r="G266" s="2" t="s">
        <v>1667</v>
      </c>
      <c r="H266" s="2" t="s">
        <v>1669</v>
      </c>
      <c r="I266" s="1" t="s">
        <v>14</v>
      </c>
      <c r="J266" s="1" t="s">
        <v>2107</v>
      </c>
      <c r="L266" s="54" t="s">
        <v>2108</v>
      </c>
      <c r="M266" s="39"/>
      <c r="N266" s="39"/>
      <c r="O266" s="39">
        <f>138.06+26.42</f>
        <v>164.48000000000002</v>
      </c>
      <c r="P266" s="39"/>
      <c r="Q266" s="39"/>
      <c r="R266" s="39"/>
      <c r="S266" s="39"/>
      <c r="T266" s="39"/>
      <c r="U266" s="39"/>
      <c r="V266" s="39"/>
      <c r="W266" s="60" t="s">
        <v>3078</v>
      </c>
    </row>
    <row r="267" spans="1:23" ht="51" x14ac:dyDescent="0.2">
      <c r="A267" s="1" t="s">
        <v>41</v>
      </c>
      <c r="B267" s="2" t="s">
        <v>38</v>
      </c>
      <c r="C267" s="2" t="s">
        <v>42</v>
      </c>
      <c r="D267" s="2" t="s">
        <v>43</v>
      </c>
      <c r="E267" s="2">
        <v>2021</v>
      </c>
      <c r="F267" s="2" t="s">
        <v>1791</v>
      </c>
      <c r="G267" s="2" t="s">
        <v>1667</v>
      </c>
      <c r="H267" s="2" t="s">
        <v>1669</v>
      </c>
      <c r="I267" s="1" t="s">
        <v>14</v>
      </c>
      <c r="J267" s="1" t="s">
        <v>2109</v>
      </c>
      <c r="L267" s="53">
        <v>0.24129999999999999</v>
      </c>
      <c r="M267" s="3"/>
      <c r="N267" s="39"/>
      <c r="O267" s="39">
        <v>183.11</v>
      </c>
      <c r="P267" s="39"/>
      <c r="Q267" s="39"/>
      <c r="R267" s="39"/>
      <c r="S267" s="39"/>
      <c r="T267" s="39"/>
      <c r="U267" s="39"/>
      <c r="V267" s="39"/>
      <c r="W267" s="60" t="s">
        <v>3078</v>
      </c>
    </row>
    <row r="268" spans="1:23" ht="51" x14ac:dyDescent="0.2">
      <c r="A268" s="1" t="s">
        <v>41</v>
      </c>
      <c r="B268" s="2" t="s">
        <v>38</v>
      </c>
      <c r="C268" s="2" t="s">
        <v>42</v>
      </c>
      <c r="D268" s="2" t="s">
        <v>43</v>
      </c>
      <c r="E268" s="2">
        <v>2021</v>
      </c>
      <c r="F268" s="2" t="s">
        <v>311</v>
      </c>
      <c r="G268" s="2" t="s">
        <v>1667</v>
      </c>
      <c r="H268" s="2" t="s">
        <v>1669</v>
      </c>
      <c r="I268" s="1" t="s">
        <v>14</v>
      </c>
      <c r="J268" s="1" t="s">
        <v>2110</v>
      </c>
      <c r="L268" s="53">
        <v>0.23960000000000001</v>
      </c>
      <c r="M268" s="3"/>
      <c r="N268" s="39"/>
      <c r="O268" s="39">
        <v>199.84</v>
      </c>
      <c r="P268" s="39"/>
      <c r="Q268" s="39"/>
      <c r="R268" s="39"/>
      <c r="S268" s="39"/>
      <c r="T268" s="39"/>
      <c r="U268" s="39"/>
      <c r="V268" s="39"/>
      <c r="W268" s="60" t="s">
        <v>3078</v>
      </c>
    </row>
    <row r="269" spans="1:23" ht="51" x14ac:dyDescent="0.2">
      <c r="A269" s="1" t="s">
        <v>41</v>
      </c>
      <c r="B269" s="2" t="s">
        <v>38</v>
      </c>
      <c r="C269" s="2" t="s">
        <v>42</v>
      </c>
      <c r="D269" s="2" t="s">
        <v>43</v>
      </c>
      <c r="E269" s="2">
        <v>2021</v>
      </c>
      <c r="F269" s="2" t="s">
        <v>1794</v>
      </c>
      <c r="G269" s="2" t="s">
        <v>1667</v>
      </c>
      <c r="H269" s="2" t="s">
        <v>1669</v>
      </c>
      <c r="I269" s="1" t="s">
        <v>14</v>
      </c>
      <c r="J269" s="1" t="s">
        <v>2111</v>
      </c>
      <c r="L269" s="53">
        <v>0.2291</v>
      </c>
      <c r="M269" s="3"/>
      <c r="N269" s="39"/>
      <c r="O269" s="39">
        <v>1414.74</v>
      </c>
      <c r="P269" s="39"/>
      <c r="Q269" s="39"/>
      <c r="R269" s="39"/>
      <c r="S269" s="39"/>
      <c r="T269" s="39"/>
      <c r="U269" s="39"/>
      <c r="V269" s="39"/>
      <c r="W269" s="60" t="s">
        <v>3078</v>
      </c>
    </row>
    <row r="270" spans="1:23" ht="51" x14ac:dyDescent="0.2">
      <c r="A270" s="1" t="s">
        <v>41</v>
      </c>
      <c r="B270" s="2" t="s">
        <v>38</v>
      </c>
      <c r="C270" s="2" t="s">
        <v>42</v>
      </c>
      <c r="D270" s="2" t="s">
        <v>43</v>
      </c>
      <c r="E270" s="2">
        <v>2021</v>
      </c>
      <c r="F270" s="2" t="s">
        <v>1796</v>
      </c>
      <c r="G270" s="2" t="s">
        <v>1667</v>
      </c>
      <c r="H270" s="2" t="s">
        <v>1669</v>
      </c>
      <c r="I270" s="1" t="s">
        <v>14</v>
      </c>
      <c r="J270" s="1" t="s">
        <v>2112</v>
      </c>
      <c r="L270" s="54" t="s">
        <v>2113</v>
      </c>
      <c r="M270" s="39"/>
      <c r="N270" s="39"/>
      <c r="O270" s="39">
        <f>1334.56+118.74</f>
        <v>1453.3</v>
      </c>
      <c r="P270" s="39"/>
      <c r="Q270" s="39"/>
      <c r="R270" s="39"/>
      <c r="S270" s="39"/>
      <c r="T270" s="39"/>
      <c r="U270" s="39"/>
      <c r="V270" s="39"/>
      <c r="W270" s="60" t="s">
        <v>3078</v>
      </c>
    </row>
    <row r="271" spans="1:23" ht="51" x14ac:dyDescent="0.2">
      <c r="A271" s="1" t="s">
        <v>41</v>
      </c>
      <c r="B271" s="2" t="s">
        <v>38</v>
      </c>
      <c r="C271" s="2" t="s">
        <v>42</v>
      </c>
      <c r="D271" s="2" t="s">
        <v>43</v>
      </c>
      <c r="E271" s="2">
        <v>2021</v>
      </c>
      <c r="F271" s="2" t="s">
        <v>1798</v>
      </c>
      <c r="G271" s="2" t="s">
        <v>1667</v>
      </c>
      <c r="H271" s="2" t="s">
        <v>1669</v>
      </c>
      <c r="I271" s="1" t="s">
        <v>14</v>
      </c>
      <c r="J271" s="1" t="s">
        <v>2114</v>
      </c>
      <c r="L271" s="54" t="s">
        <v>2115</v>
      </c>
      <c r="M271" s="39"/>
      <c r="N271" s="39"/>
      <c r="O271" s="39">
        <f>1263.9+187.09</f>
        <v>1450.99</v>
      </c>
      <c r="P271" s="39"/>
      <c r="Q271" s="39"/>
      <c r="R271" s="39"/>
      <c r="S271" s="39"/>
      <c r="T271" s="39"/>
      <c r="U271" s="39"/>
      <c r="V271" s="39"/>
      <c r="W271" s="60" t="s">
        <v>3078</v>
      </c>
    </row>
    <row r="272" spans="1:23" ht="127.5" x14ac:dyDescent="0.2">
      <c r="A272" s="1" t="s">
        <v>52</v>
      </c>
      <c r="B272" s="2" t="s">
        <v>53</v>
      </c>
      <c r="C272" s="2" t="s">
        <v>54</v>
      </c>
      <c r="D272" s="2" t="s">
        <v>55</v>
      </c>
      <c r="E272" s="2">
        <v>2021</v>
      </c>
      <c r="F272" s="2" t="s">
        <v>1776</v>
      </c>
      <c r="G272" s="2" t="s">
        <v>1667</v>
      </c>
      <c r="H272" s="2" t="s">
        <v>1669</v>
      </c>
      <c r="I272" s="1" t="s">
        <v>14</v>
      </c>
      <c r="J272" s="1" t="s">
        <v>2116</v>
      </c>
      <c r="L272" s="53">
        <v>0.15049999999999999</v>
      </c>
      <c r="M272" s="39"/>
      <c r="N272" s="39"/>
      <c r="O272" s="39">
        <v>1722.12</v>
      </c>
      <c r="P272" s="39"/>
      <c r="Q272" s="39"/>
      <c r="R272" s="39"/>
      <c r="S272" s="39"/>
      <c r="T272" s="39"/>
      <c r="U272" s="39"/>
      <c r="V272" s="39"/>
      <c r="W272" s="60"/>
    </row>
    <row r="273" spans="1:23" ht="140.25" x14ac:dyDescent="0.2">
      <c r="A273" s="1" t="s">
        <v>52</v>
      </c>
      <c r="B273" s="2" t="s">
        <v>53</v>
      </c>
      <c r="C273" s="2" t="s">
        <v>54</v>
      </c>
      <c r="D273" s="2" t="s">
        <v>55</v>
      </c>
      <c r="E273" s="2">
        <v>2021</v>
      </c>
      <c r="F273" s="2" t="s">
        <v>1779</v>
      </c>
      <c r="G273" s="2" t="s">
        <v>1667</v>
      </c>
      <c r="H273" s="2" t="s">
        <v>1669</v>
      </c>
      <c r="I273" s="1" t="s">
        <v>14</v>
      </c>
      <c r="J273" s="1" t="s">
        <v>2117</v>
      </c>
      <c r="L273" s="53">
        <v>0.15210000000000001</v>
      </c>
      <c r="M273" s="39"/>
      <c r="N273" s="39"/>
      <c r="O273" s="39">
        <v>1830.7</v>
      </c>
      <c r="P273" s="39"/>
      <c r="Q273" s="39"/>
      <c r="R273" s="39"/>
      <c r="S273" s="39"/>
      <c r="T273" s="39"/>
      <c r="U273" s="39"/>
      <c r="V273" s="39"/>
      <c r="W273" s="60"/>
    </row>
    <row r="274" spans="1:23" ht="153" x14ac:dyDescent="0.2">
      <c r="A274" s="1" t="s">
        <v>52</v>
      </c>
      <c r="B274" s="2" t="s">
        <v>53</v>
      </c>
      <c r="C274" s="2" t="s">
        <v>54</v>
      </c>
      <c r="D274" s="2" t="s">
        <v>55</v>
      </c>
      <c r="E274" s="2">
        <v>2021</v>
      </c>
      <c r="F274" s="2" t="s">
        <v>1781</v>
      </c>
      <c r="G274" s="2" t="s">
        <v>1667</v>
      </c>
      <c r="H274" s="2" t="s">
        <v>1669</v>
      </c>
      <c r="I274" s="1" t="s">
        <v>14</v>
      </c>
      <c r="J274" s="1" t="s">
        <v>2118</v>
      </c>
      <c r="L274" s="53">
        <v>0.16270000000000001</v>
      </c>
      <c r="M274" s="39"/>
      <c r="N274" s="39"/>
      <c r="O274" s="39">
        <v>2540.5</v>
      </c>
      <c r="P274" s="39"/>
      <c r="Q274" s="39"/>
      <c r="R274" s="39"/>
      <c r="S274" s="39"/>
      <c r="T274" s="39"/>
      <c r="U274" s="39"/>
      <c r="V274" s="39"/>
      <c r="W274" s="60" t="s">
        <v>3081</v>
      </c>
    </row>
    <row r="275" spans="1:23" ht="191.25" x14ac:dyDescent="0.2">
      <c r="A275" s="1" t="s">
        <v>52</v>
      </c>
      <c r="B275" s="2" t="s">
        <v>53</v>
      </c>
      <c r="C275" s="2" t="s">
        <v>54</v>
      </c>
      <c r="D275" s="2" t="s">
        <v>55</v>
      </c>
      <c r="E275" s="2">
        <v>2021</v>
      </c>
      <c r="F275" s="2" t="s">
        <v>1783</v>
      </c>
      <c r="G275" s="2" t="s">
        <v>1667</v>
      </c>
      <c r="H275" s="2" t="s">
        <v>1669</v>
      </c>
      <c r="I275" s="1" t="s">
        <v>14</v>
      </c>
      <c r="J275" s="1" t="s">
        <v>2119</v>
      </c>
      <c r="L275" s="53">
        <v>0.15890000000000001</v>
      </c>
      <c r="M275" s="39"/>
      <c r="N275" s="39"/>
      <c r="O275" s="39">
        <v>1805.55</v>
      </c>
      <c r="P275" s="39"/>
      <c r="Q275" s="39"/>
      <c r="R275" s="39"/>
      <c r="S275" s="39"/>
      <c r="T275" s="39"/>
      <c r="U275" s="39"/>
      <c r="V275" s="39"/>
      <c r="W275" s="60" t="s">
        <v>3081</v>
      </c>
    </row>
    <row r="276" spans="1:23" ht="229.5" x14ac:dyDescent="0.2">
      <c r="A276" s="1" t="s">
        <v>52</v>
      </c>
      <c r="B276" s="2" t="s">
        <v>53</v>
      </c>
      <c r="C276" s="2" t="s">
        <v>54</v>
      </c>
      <c r="D276" s="2" t="s">
        <v>55</v>
      </c>
      <c r="E276" s="2">
        <v>2021</v>
      </c>
      <c r="F276" s="2" t="s">
        <v>1785</v>
      </c>
      <c r="G276" s="2" t="s">
        <v>1667</v>
      </c>
      <c r="H276" s="2" t="s">
        <v>1669</v>
      </c>
      <c r="I276" s="1" t="s">
        <v>14</v>
      </c>
      <c r="J276" s="1" t="s">
        <v>2120</v>
      </c>
      <c r="L276" s="53">
        <v>0.152</v>
      </c>
      <c r="M276" s="39"/>
      <c r="N276" s="39"/>
      <c r="O276" s="39">
        <v>1772.98</v>
      </c>
      <c r="P276" s="39"/>
      <c r="Q276" s="39"/>
      <c r="R276" s="39"/>
      <c r="S276" s="39"/>
      <c r="T276" s="39"/>
      <c r="U276" s="39"/>
      <c r="V276" s="39"/>
      <c r="W276" s="60"/>
    </row>
    <row r="277" spans="1:23" ht="191.25" x14ac:dyDescent="0.2">
      <c r="A277" s="1" t="s">
        <v>52</v>
      </c>
      <c r="B277" s="2" t="s">
        <v>53</v>
      </c>
      <c r="C277" s="2" t="s">
        <v>54</v>
      </c>
      <c r="D277" s="2" t="s">
        <v>55</v>
      </c>
      <c r="E277" s="2">
        <v>2021</v>
      </c>
      <c r="F277" s="2" t="s">
        <v>1787</v>
      </c>
      <c r="G277" s="2" t="s">
        <v>1667</v>
      </c>
      <c r="H277" s="2" t="s">
        <v>1669</v>
      </c>
      <c r="I277" s="1" t="s">
        <v>14</v>
      </c>
      <c r="J277" s="1" t="s">
        <v>2121</v>
      </c>
      <c r="L277" s="53">
        <v>0.1641</v>
      </c>
      <c r="M277" s="39"/>
      <c r="N277" s="39"/>
      <c r="O277" s="39">
        <v>2027.44</v>
      </c>
      <c r="P277" s="39"/>
      <c r="Q277" s="39"/>
      <c r="R277" s="39"/>
      <c r="S277" s="39"/>
      <c r="T277" s="39"/>
      <c r="U277" s="39"/>
      <c r="V277" s="39"/>
      <c r="W277" s="60"/>
    </row>
    <row r="278" spans="1:23" ht="140.25" x14ac:dyDescent="0.2">
      <c r="A278" s="1" t="s">
        <v>52</v>
      </c>
      <c r="B278" s="2" t="s">
        <v>53</v>
      </c>
      <c r="C278" s="2" t="s">
        <v>54</v>
      </c>
      <c r="D278" s="2" t="s">
        <v>55</v>
      </c>
      <c r="E278" s="2">
        <v>2021</v>
      </c>
      <c r="F278" s="2" t="s">
        <v>1789</v>
      </c>
      <c r="G278" s="2" t="s">
        <v>1667</v>
      </c>
      <c r="H278" s="2" t="s">
        <v>1669</v>
      </c>
      <c r="I278" s="1" t="s">
        <v>14</v>
      </c>
      <c r="J278" s="1" t="s">
        <v>2122</v>
      </c>
      <c r="L278" s="53">
        <v>0.17430000000000001</v>
      </c>
      <c r="M278" s="39"/>
      <c r="N278" s="39"/>
      <c r="O278" s="39">
        <v>1200.6099999999999</v>
      </c>
      <c r="P278" s="39"/>
      <c r="Q278" s="39"/>
      <c r="R278" s="39"/>
      <c r="S278" s="39"/>
      <c r="T278" s="39"/>
      <c r="U278" s="39"/>
      <c r="V278" s="39"/>
      <c r="W278" s="60"/>
    </row>
    <row r="279" spans="1:23" ht="153" x14ac:dyDescent="0.2">
      <c r="A279" s="1" t="s">
        <v>52</v>
      </c>
      <c r="B279" s="2" t="s">
        <v>53</v>
      </c>
      <c r="C279" s="2" t="s">
        <v>54</v>
      </c>
      <c r="D279" s="2" t="s">
        <v>55</v>
      </c>
      <c r="E279" s="2">
        <v>2021</v>
      </c>
      <c r="F279" s="2" t="s">
        <v>1791</v>
      </c>
      <c r="G279" s="2" t="s">
        <v>1667</v>
      </c>
      <c r="H279" s="2" t="s">
        <v>1669</v>
      </c>
      <c r="I279" s="1" t="s">
        <v>14</v>
      </c>
      <c r="J279" s="1" t="s">
        <v>2123</v>
      </c>
      <c r="L279" s="53">
        <v>0.1661</v>
      </c>
      <c r="M279" s="39"/>
      <c r="N279" s="39"/>
      <c r="O279" s="39">
        <v>1498.84</v>
      </c>
      <c r="P279" s="39"/>
      <c r="Q279" s="39"/>
      <c r="R279" s="39"/>
      <c r="S279" s="39"/>
      <c r="T279" s="39"/>
      <c r="U279" s="39"/>
      <c r="V279" s="39"/>
      <c r="W279" s="60"/>
    </row>
    <row r="280" spans="1:23" ht="165.75" x14ac:dyDescent="0.2">
      <c r="A280" s="1" t="s">
        <v>52</v>
      </c>
      <c r="B280" s="2" t="s">
        <v>53</v>
      </c>
      <c r="C280" s="2" t="s">
        <v>54</v>
      </c>
      <c r="D280" s="2" t="s">
        <v>55</v>
      </c>
      <c r="E280" s="2">
        <v>2021</v>
      </c>
      <c r="F280" s="2" t="s">
        <v>311</v>
      </c>
      <c r="G280" s="2" t="s">
        <v>1667</v>
      </c>
      <c r="H280" s="2" t="s">
        <v>1669</v>
      </c>
      <c r="I280" s="1" t="s">
        <v>14</v>
      </c>
      <c r="J280" s="1" t="s">
        <v>2124</v>
      </c>
      <c r="L280" s="53">
        <v>0.15679999999999999</v>
      </c>
      <c r="M280" s="39"/>
      <c r="N280" s="39"/>
      <c r="O280" s="39">
        <v>1575.81</v>
      </c>
      <c r="P280" s="39"/>
      <c r="Q280" s="39"/>
      <c r="R280" s="39"/>
      <c r="S280" s="39"/>
      <c r="T280" s="39"/>
      <c r="U280" s="39"/>
      <c r="V280" s="39"/>
      <c r="W280" s="60"/>
    </row>
    <row r="281" spans="1:23" ht="242.25" x14ac:dyDescent="0.2">
      <c r="A281" s="1" t="s">
        <v>52</v>
      </c>
      <c r="B281" s="2" t="s">
        <v>53</v>
      </c>
      <c r="C281" s="2" t="s">
        <v>54</v>
      </c>
      <c r="D281" s="2" t="s">
        <v>55</v>
      </c>
      <c r="E281" s="2">
        <v>2021</v>
      </c>
      <c r="F281" s="2" t="s">
        <v>1794</v>
      </c>
      <c r="G281" s="2" t="s">
        <v>1667</v>
      </c>
      <c r="H281" s="2" t="s">
        <v>1669</v>
      </c>
      <c r="I281" s="1" t="s">
        <v>14</v>
      </c>
      <c r="J281" s="1" t="s">
        <v>2125</v>
      </c>
      <c r="L281" s="53">
        <v>0.1532</v>
      </c>
      <c r="M281" s="39"/>
      <c r="N281" s="39"/>
      <c r="O281" s="39">
        <v>1323.82</v>
      </c>
      <c r="P281" s="39"/>
      <c r="Q281" s="39"/>
      <c r="R281" s="39"/>
      <c r="S281" s="39"/>
      <c r="T281" s="39"/>
      <c r="U281" s="39"/>
      <c r="V281" s="39"/>
      <c r="W281" s="60"/>
    </row>
    <row r="282" spans="1:23" ht="216.75" x14ac:dyDescent="0.2">
      <c r="A282" s="1" t="s">
        <v>52</v>
      </c>
      <c r="B282" s="2" t="s">
        <v>53</v>
      </c>
      <c r="C282" s="2" t="s">
        <v>54</v>
      </c>
      <c r="D282" s="2" t="s">
        <v>55</v>
      </c>
      <c r="E282" s="2">
        <v>2021</v>
      </c>
      <c r="F282" s="2" t="s">
        <v>1796</v>
      </c>
      <c r="G282" s="2" t="s">
        <v>1667</v>
      </c>
      <c r="H282" s="2" t="s">
        <v>1669</v>
      </c>
      <c r="I282" s="1" t="s">
        <v>14</v>
      </c>
      <c r="J282" s="1" t="s">
        <v>2126</v>
      </c>
      <c r="L282" s="53">
        <v>0.16350000000000001</v>
      </c>
      <c r="M282" s="39"/>
      <c r="N282" s="39"/>
      <c r="O282" s="39">
        <v>1784.82</v>
      </c>
      <c r="P282" s="39"/>
      <c r="Q282" s="39"/>
      <c r="R282" s="39"/>
      <c r="S282" s="39"/>
      <c r="T282" s="39"/>
      <c r="U282" s="39"/>
      <c r="V282" s="39"/>
      <c r="W282" s="60"/>
    </row>
    <row r="283" spans="1:23" ht="153" x14ac:dyDescent="0.2">
      <c r="A283" s="1" t="s">
        <v>52</v>
      </c>
      <c r="B283" s="2" t="s">
        <v>53</v>
      </c>
      <c r="C283" s="2" t="s">
        <v>54</v>
      </c>
      <c r="D283" s="2" t="s">
        <v>55</v>
      </c>
      <c r="E283" s="2">
        <v>2021</v>
      </c>
      <c r="F283" s="2" t="s">
        <v>1798</v>
      </c>
      <c r="G283" s="2" t="s">
        <v>1667</v>
      </c>
      <c r="H283" s="2" t="s">
        <v>1669</v>
      </c>
      <c r="I283" s="1" t="s">
        <v>14</v>
      </c>
      <c r="J283" s="1" t="s">
        <v>2127</v>
      </c>
      <c r="L283" s="53">
        <v>0.16370000000000001</v>
      </c>
      <c r="M283" s="39"/>
      <c r="N283" s="39"/>
      <c r="O283" s="39">
        <v>1811.11</v>
      </c>
      <c r="P283" s="39"/>
      <c r="Q283" s="39"/>
      <c r="R283" s="39"/>
      <c r="S283" s="39"/>
      <c r="T283" s="39"/>
      <c r="U283" s="39"/>
      <c r="V283" s="39"/>
      <c r="W283" s="60"/>
    </row>
    <row r="284" spans="1:23" ht="25.5" x14ac:dyDescent="0.2">
      <c r="A284" s="1" t="s">
        <v>130</v>
      </c>
      <c r="B284" s="2" t="s">
        <v>10</v>
      </c>
      <c r="C284" s="2" t="s">
        <v>131</v>
      </c>
      <c r="D284" s="2" t="s">
        <v>132</v>
      </c>
      <c r="E284" s="2">
        <v>2021</v>
      </c>
      <c r="F284" s="2" t="s">
        <v>1776</v>
      </c>
      <c r="G284" s="2" t="s">
        <v>1667</v>
      </c>
      <c r="H284" s="2" t="s">
        <v>1669</v>
      </c>
      <c r="I284" s="1" t="s">
        <v>14</v>
      </c>
      <c r="J284" s="1" t="s">
        <v>2128</v>
      </c>
      <c r="L284" s="33"/>
      <c r="M284" s="15"/>
      <c r="N284" s="15"/>
      <c r="O284" s="15"/>
      <c r="P284" s="15"/>
      <c r="Q284" s="15"/>
      <c r="R284" s="15"/>
      <c r="S284" s="15"/>
      <c r="T284" s="15"/>
      <c r="U284" s="15"/>
      <c r="V284" s="15"/>
      <c r="W284" s="60" t="s">
        <v>1735</v>
      </c>
    </row>
    <row r="285" spans="1:23" ht="25.5" x14ac:dyDescent="0.2">
      <c r="A285" s="1" t="s">
        <v>130</v>
      </c>
      <c r="B285" s="2" t="s">
        <v>10</v>
      </c>
      <c r="C285" s="2" t="s">
        <v>131</v>
      </c>
      <c r="D285" s="2" t="s">
        <v>132</v>
      </c>
      <c r="E285" s="2">
        <v>2021</v>
      </c>
      <c r="F285" s="2" t="s">
        <v>1779</v>
      </c>
      <c r="G285" s="2" t="s">
        <v>1667</v>
      </c>
      <c r="H285" s="2" t="s">
        <v>1669</v>
      </c>
      <c r="I285" s="1" t="s">
        <v>14</v>
      </c>
      <c r="J285" s="1" t="s">
        <v>2129</v>
      </c>
      <c r="L285" s="53"/>
      <c r="M285" s="39"/>
      <c r="N285" s="39"/>
      <c r="O285" s="39"/>
      <c r="P285" s="39"/>
      <c r="Q285" s="39"/>
      <c r="R285" s="39"/>
      <c r="S285" s="39"/>
      <c r="T285" s="39"/>
      <c r="U285" s="39"/>
      <c r="V285" s="39"/>
      <c r="W285" s="60" t="s">
        <v>1735</v>
      </c>
    </row>
    <row r="286" spans="1:23" ht="25.5" x14ac:dyDescent="0.2">
      <c r="A286" s="1" t="s">
        <v>130</v>
      </c>
      <c r="B286" s="2" t="s">
        <v>10</v>
      </c>
      <c r="C286" s="2" t="s">
        <v>131</v>
      </c>
      <c r="D286" s="2" t="s">
        <v>132</v>
      </c>
      <c r="E286" s="2">
        <v>2021</v>
      </c>
      <c r="F286" s="2" t="s">
        <v>1781</v>
      </c>
      <c r="G286" s="2" t="s">
        <v>1667</v>
      </c>
      <c r="H286" s="2" t="s">
        <v>1669</v>
      </c>
      <c r="I286" s="1" t="s">
        <v>14</v>
      </c>
      <c r="J286" s="1" t="s">
        <v>2130</v>
      </c>
      <c r="L286" s="53"/>
      <c r="M286" s="39"/>
      <c r="N286" s="39"/>
      <c r="O286" s="39"/>
      <c r="P286" s="39"/>
      <c r="Q286" s="39"/>
      <c r="R286" s="39"/>
      <c r="S286" s="39"/>
      <c r="T286" s="39"/>
      <c r="U286" s="39"/>
      <c r="V286" s="39"/>
      <c r="W286" s="60" t="s">
        <v>1735</v>
      </c>
    </row>
    <row r="287" spans="1:23" ht="25.5" x14ac:dyDescent="0.2">
      <c r="A287" s="1" t="s">
        <v>130</v>
      </c>
      <c r="B287" s="2" t="s">
        <v>10</v>
      </c>
      <c r="C287" s="2" t="s">
        <v>131</v>
      </c>
      <c r="D287" s="2" t="s">
        <v>132</v>
      </c>
      <c r="E287" s="2">
        <v>2021</v>
      </c>
      <c r="F287" s="2" t="s">
        <v>1783</v>
      </c>
      <c r="G287" s="2" t="s">
        <v>1667</v>
      </c>
      <c r="H287" s="2" t="s">
        <v>1669</v>
      </c>
      <c r="I287" s="1" t="s">
        <v>14</v>
      </c>
      <c r="J287" s="1" t="s">
        <v>2131</v>
      </c>
      <c r="L287" s="53"/>
      <c r="M287" s="39"/>
      <c r="N287" s="39"/>
      <c r="O287" s="39"/>
      <c r="P287" s="39"/>
      <c r="Q287" s="39"/>
      <c r="R287" s="39"/>
      <c r="S287" s="39"/>
      <c r="T287" s="39"/>
      <c r="U287" s="39"/>
      <c r="V287" s="39"/>
      <c r="W287" s="60" t="s">
        <v>1735</v>
      </c>
    </row>
    <row r="288" spans="1:23" ht="25.5" x14ac:dyDescent="0.2">
      <c r="A288" s="1" t="s">
        <v>130</v>
      </c>
      <c r="B288" s="2" t="s">
        <v>10</v>
      </c>
      <c r="C288" s="2" t="s">
        <v>131</v>
      </c>
      <c r="D288" s="2" t="s">
        <v>132</v>
      </c>
      <c r="E288" s="2">
        <v>2021</v>
      </c>
      <c r="F288" s="2" t="s">
        <v>1785</v>
      </c>
      <c r="G288" s="2" t="s">
        <v>1667</v>
      </c>
      <c r="H288" s="2" t="s">
        <v>1669</v>
      </c>
      <c r="I288" s="1" t="s">
        <v>14</v>
      </c>
      <c r="J288" s="1" t="s">
        <v>2132</v>
      </c>
      <c r="L288" s="53"/>
      <c r="M288" s="39"/>
      <c r="N288" s="39"/>
      <c r="O288" s="39"/>
      <c r="P288" s="39"/>
      <c r="Q288" s="39"/>
      <c r="R288" s="39"/>
      <c r="S288" s="39"/>
      <c r="T288" s="39"/>
      <c r="U288" s="39"/>
      <c r="V288" s="39"/>
      <c r="W288" s="60" t="s">
        <v>1735</v>
      </c>
    </row>
    <row r="289" spans="1:23" ht="25.5" x14ac:dyDescent="0.2">
      <c r="A289" s="1" t="s">
        <v>130</v>
      </c>
      <c r="B289" s="2" t="s">
        <v>10</v>
      </c>
      <c r="C289" s="2" t="s">
        <v>131</v>
      </c>
      <c r="D289" s="2" t="s">
        <v>132</v>
      </c>
      <c r="E289" s="2">
        <v>2021</v>
      </c>
      <c r="F289" s="2" t="s">
        <v>1787</v>
      </c>
      <c r="G289" s="2" t="s">
        <v>1667</v>
      </c>
      <c r="H289" s="2" t="s">
        <v>1669</v>
      </c>
      <c r="I289" s="1" t="s">
        <v>14</v>
      </c>
      <c r="J289" s="1" t="s">
        <v>2133</v>
      </c>
      <c r="L289" s="53"/>
      <c r="M289" s="39"/>
      <c r="N289" s="39"/>
      <c r="O289" s="39"/>
      <c r="P289" s="39"/>
      <c r="Q289" s="39"/>
      <c r="R289" s="39"/>
      <c r="S289" s="39"/>
      <c r="T289" s="39"/>
      <c r="U289" s="39"/>
      <c r="V289" s="39"/>
      <c r="W289" s="60" t="s">
        <v>1735</v>
      </c>
    </row>
    <row r="290" spans="1:23" ht="25.5" x14ac:dyDescent="0.2">
      <c r="A290" s="1" t="s">
        <v>130</v>
      </c>
      <c r="B290" s="2" t="s">
        <v>10</v>
      </c>
      <c r="C290" s="2" t="s">
        <v>131</v>
      </c>
      <c r="D290" s="2" t="s">
        <v>132</v>
      </c>
      <c r="E290" s="2">
        <v>2021</v>
      </c>
      <c r="F290" s="2" t="s">
        <v>1789</v>
      </c>
      <c r="G290" s="2" t="s">
        <v>1667</v>
      </c>
      <c r="H290" s="2" t="s">
        <v>1669</v>
      </c>
      <c r="I290" s="1" t="s">
        <v>14</v>
      </c>
      <c r="J290" s="1" t="s">
        <v>2134</v>
      </c>
      <c r="L290" s="53"/>
      <c r="M290" s="39"/>
      <c r="N290" s="39"/>
      <c r="O290" s="39"/>
      <c r="P290" s="39"/>
      <c r="Q290" s="39"/>
      <c r="R290" s="39"/>
      <c r="S290" s="39"/>
      <c r="T290" s="39"/>
      <c r="U290" s="39"/>
      <c r="V290" s="39"/>
      <c r="W290" s="60" t="s">
        <v>1735</v>
      </c>
    </row>
    <row r="291" spans="1:23" ht="25.5" x14ac:dyDescent="0.2">
      <c r="A291" s="1" t="s">
        <v>130</v>
      </c>
      <c r="B291" s="2" t="s">
        <v>10</v>
      </c>
      <c r="C291" s="2" t="s">
        <v>131</v>
      </c>
      <c r="D291" s="2" t="s">
        <v>132</v>
      </c>
      <c r="E291" s="2">
        <v>2021</v>
      </c>
      <c r="F291" s="2" t="s">
        <v>1791</v>
      </c>
      <c r="G291" s="2" t="s">
        <v>1667</v>
      </c>
      <c r="H291" s="2" t="s">
        <v>1669</v>
      </c>
      <c r="I291" s="1" t="s">
        <v>14</v>
      </c>
      <c r="J291" s="1" t="s">
        <v>2135</v>
      </c>
      <c r="L291" s="53"/>
      <c r="M291" s="39"/>
      <c r="N291" s="39"/>
      <c r="O291" s="39"/>
      <c r="P291" s="39"/>
      <c r="Q291" s="39"/>
      <c r="R291" s="39"/>
      <c r="S291" s="39"/>
      <c r="T291" s="39"/>
      <c r="U291" s="39"/>
      <c r="V291" s="39"/>
      <c r="W291" s="60" t="s">
        <v>1735</v>
      </c>
    </row>
    <row r="292" spans="1:23" ht="25.5" x14ac:dyDescent="0.2">
      <c r="A292" s="1" t="s">
        <v>130</v>
      </c>
      <c r="B292" s="2" t="s">
        <v>10</v>
      </c>
      <c r="C292" s="2" t="s">
        <v>131</v>
      </c>
      <c r="D292" s="2" t="s">
        <v>132</v>
      </c>
      <c r="E292" s="2">
        <v>2021</v>
      </c>
      <c r="F292" s="2" t="s">
        <v>311</v>
      </c>
      <c r="G292" s="2" t="s">
        <v>1667</v>
      </c>
      <c r="H292" s="2" t="s">
        <v>1669</v>
      </c>
      <c r="I292" s="1" t="s">
        <v>14</v>
      </c>
      <c r="J292" s="1" t="s">
        <v>2136</v>
      </c>
      <c r="L292" s="53"/>
      <c r="M292" s="39"/>
      <c r="N292" s="39"/>
      <c r="O292" s="39"/>
      <c r="P292" s="39"/>
      <c r="Q292" s="39"/>
      <c r="R292" s="39"/>
      <c r="S292" s="39"/>
      <c r="T292" s="39"/>
      <c r="U292" s="39"/>
      <c r="V292" s="39"/>
      <c r="W292" s="60" t="s">
        <v>1735</v>
      </c>
    </row>
    <row r="293" spans="1:23" ht="25.5" x14ac:dyDescent="0.2">
      <c r="A293" s="1" t="s">
        <v>130</v>
      </c>
      <c r="B293" s="2" t="s">
        <v>10</v>
      </c>
      <c r="C293" s="2" t="s">
        <v>131</v>
      </c>
      <c r="D293" s="2" t="s">
        <v>132</v>
      </c>
      <c r="E293" s="2">
        <v>2021</v>
      </c>
      <c r="F293" s="2" t="s">
        <v>1794</v>
      </c>
      <c r="G293" s="2" t="s">
        <v>1667</v>
      </c>
      <c r="H293" s="2" t="s">
        <v>1669</v>
      </c>
      <c r="I293" s="1" t="s">
        <v>14</v>
      </c>
      <c r="J293" s="1" t="s">
        <v>2137</v>
      </c>
      <c r="L293" s="53"/>
      <c r="M293" s="39"/>
      <c r="N293" s="39"/>
      <c r="O293" s="39"/>
      <c r="P293" s="39"/>
      <c r="Q293" s="39"/>
      <c r="R293" s="39"/>
      <c r="S293" s="39"/>
      <c r="T293" s="39"/>
      <c r="U293" s="39"/>
      <c r="V293" s="39"/>
      <c r="W293" s="60" t="s">
        <v>1735</v>
      </c>
    </row>
    <row r="294" spans="1:23" ht="25.5" x14ac:dyDescent="0.2">
      <c r="A294" s="1" t="s">
        <v>130</v>
      </c>
      <c r="B294" s="2" t="s">
        <v>10</v>
      </c>
      <c r="C294" s="2" t="s">
        <v>131</v>
      </c>
      <c r="D294" s="2" t="s">
        <v>132</v>
      </c>
      <c r="E294" s="2">
        <v>2021</v>
      </c>
      <c r="F294" s="2" t="s">
        <v>1796</v>
      </c>
      <c r="G294" s="2" t="s">
        <v>1667</v>
      </c>
      <c r="H294" s="2" t="s">
        <v>1669</v>
      </c>
      <c r="I294" s="1" t="s">
        <v>14</v>
      </c>
      <c r="J294" s="1" t="s">
        <v>2136</v>
      </c>
      <c r="L294" s="53"/>
      <c r="M294" s="39"/>
      <c r="N294" s="39"/>
      <c r="O294" s="39"/>
      <c r="P294" s="39"/>
      <c r="Q294" s="39"/>
      <c r="R294" s="39"/>
      <c r="S294" s="39"/>
      <c r="T294" s="39"/>
      <c r="U294" s="39"/>
      <c r="V294" s="39"/>
      <c r="W294" s="60" t="s">
        <v>1735</v>
      </c>
    </row>
    <row r="295" spans="1:23" ht="25.5" x14ac:dyDescent="0.2">
      <c r="A295" s="1" t="s">
        <v>130</v>
      </c>
      <c r="B295" s="2" t="s">
        <v>10</v>
      </c>
      <c r="C295" s="2" t="s">
        <v>131</v>
      </c>
      <c r="D295" s="2" t="s">
        <v>132</v>
      </c>
      <c r="E295" s="2">
        <v>2021</v>
      </c>
      <c r="F295" s="2" t="s">
        <v>1798</v>
      </c>
      <c r="G295" s="2" t="s">
        <v>1667</v>
      </c>
      <c r="H295" s="2" t="s">
        <v>1669</v>
      </c>
      <c r="I295" s="1" t="s">
        <v>14</v>
      </c>
      <c r="J295" s="1" t="s">
        <v>2138</v>
      </c>
      <c r="L295" s="53"/>
      <c r="M295" s="39"/>
      <c r="N295" s="39"/>
      <c r="O295" s="39"/>
      <c r="P295" s="39"/>
      <c r="Q295" s="39"/>
      <c r="R295" s="39"/>
      <c r="S295" s="39"/>
      <c r="T295" s="39"/>
      <c r="U295" s="39"/>
      <c r="V295" s="39"/>
      <c r="W295" s="60" t="s">
        <v>1735</v>
      </c>
    </row>
    <row r="296" spans="1:23" ht="76.5" x14ac:dyDescent="0.2">
      <c r="A296" s="1" t="s">
        <v>2139</v>
      </c>
      <c r="B296" s="2" t="s">
        <v>196</v>
      </c>
      <c r="C296" s="2" t="s">
        <v>2140</v>
      </c>
      <c r="D296" s="2" t="s">
        <v>1417</v>
      </c>
      <c r="E296" s="2">
        <v>2021</v>
      </c>
      <c r="F296" s="2" t="s">
        <v>1794</v>
      </c>
      <c r="G296" s="2" t="s">
        <v>1669</v>
      </c>
      <c r="H296" s="2" t="s">
        <v>1669</v>
      </c>
      <c r="I296" s="1" t="s">
        <v>2141</v>
      </c>
      <c r="J296" s="1" t="s">
        <v>2142</v>
      </c>
      <c r="L296" s="53">
        <v>0.13</v>
      </c>
      <c r="M296" s="39"/>
      <c r="N296" s="39"/>
      <c r="O296" s="39">
        <f>59.18/L296</f>
        <v>455.23076923076923</v>
      </c>
      <c r="P296" s="39"/>
      <c r="Q296" s="39"/>
      <c r="R296" s="39"/>
      <c r="S296" s="39"/>
      <c r="T296" s="39"/>
      <c r="U296" s="39"/>
      <c r="V296" s="39"/>
      <c r="W296" s="60" t="s">
        <v>2143</v>
      </c>
    </row>
    <row r="297" spans="1:23" ht="51" x14ac:dyDescent="0.2">
      <c r="A297" s="1" t="s">
        <v>740</v>
      </c>
      <c r="B297" s="2" t="s">
        <v>69</v>
      </c>
      <c r="C297" s="2" t="s">
        <v>82</v>
      </c>
      <c r="D297" s="2" t="s">
        <v>58</v>
      </c>
      <c r="E297" s="2">
        <v>2021</v>
      </c>
      <c r="F297" s="2" t="s">
        <v>1776</v>
      </c>
      <c r="G297" s="2" t="s">
        <v>1669</v>
      </c>
      <c r="H297" s="2" t="s">
        <v>1669</v>
      </c>
      <c r="I297" s="1" t="s">
        <v>2144</v>
      </c>
      <c r="J297" s="1" t="s">
        <v>2145</v>
      </c>
      <c r="L297" s="53"/>
      <c r="M297" s="39"/>
      <c r="N297" s="39"/>
      <c r="O297" s="39"/>
      <c r="P297" s="39"/>
      <c r="Q297" s="39"/>
      <c r="R297" s="39"/>
      <c r="S297" s="39"/>
      <c r="T297" s="39"/>
      <c r="U297" s="39"/>
      <c r="V297" s="39"/>
      <c r="W297" s="60" t="s">
        <v>1696</v>
      </c>
    </row>
    <row r="298" spans="1:23" ht="63.75" x14ac:dyDescent="0.2">
      <c r="A298" s="1" t="s">
        <v>740</v>
      </c>
      <c r="B298" s="2" t="s">
        <v>69</v>
      </c>
      <c r="C298" s="2" t="s">
        <v>82</v>
      </c>
      <c r="D298" s="2" t="s">
        <v>58</v>
      </c>
      <c r="E298" s="2">
        <v>2021</v>
      </c>
      <c r="F298" s="2" t="s">
        <v>1789</v>
      </c>
      <c r="G298" s="2" t="s">
        <v>1669</v>
      </c>
      <c r="H298" s="2" t="s">
        <v>1669</v>
      </c>
      <c r="I298" s="1" t="s">
        <v>2146</v>
      </c>
      <c r="J298" s="1" t="s">
        <v>2145</v>
      </c>
      <c r="L298" s="53"/>
      <c r="M298" s="39"/>
      <c r="N298" s="39"/>
      <c r="O298" s="39"/>
      <c r="P298" s="39"/>
      <c r="Q298" s="39"/>
      <c r="R298" s="39"/>
      <c r="S298" s="39"/>
      <c r="T298" s="39"/>
      <c r="U298" s="39"/>
      <c r="V298" s="39"/>
      <c r="W298" s="60" t="s">
        <v>1696</v>
      </c>
    </row>
    <row r="299" spans="1:23" ht="76.5" x14ac:dyDescent="0.2">
      <c r="A299" s="1" t="s">
        <v>2147</v>
      </c>
      <c r="B299" s="2" t="s">
        <v>198</v>
      </c>
      <c r="C299" s="2" t="s">
        <v>2148</v>
      </c>
      <c r="D299" s="2" t="s">
        <v>328</v>
      </c>
      <c r="E299" s="2">
        <v>2021</v>
      </c>
      <c r="F299" s="2" t="s">
        <v>1796</v>
      </c>
      <c r="G299" s="2" t="s">
        <v>1669</v>
      </c>
      <c r="H299" s="2" t="s">
        <v>1669</v>
      </c>
      <c r="I299" s="1" t="s">
        <v>2149</v>
      </c>
      <c r="J299" s="1" t="s">
        <v>2150</v>
      </c>
      <c r="L299" s="53">
        <v>3.5000000000000003E-2</v>
      </c>
      <c r="M299" s="39"/>
      <c r="N299" s="39"/>
      <c r="O299" s="39"/>
      <c r="P299" s="39"/>
      <c r="Q299" s="39"/>
      <c r="R299" s="39"/>
      <c r="S299" s="39"/>
      <c r="T299" s="39"/>
      <c r="U299" s="39">
        <v>150</v>
      </c>
      <c r="V299" s="3"/>
      <c r="W299" s="60" t="s">
        <v>1699</v>
      </c>
    </row>
    <row r="300" spans="1:23" ht="38.25" x14ac:dyDescent="0.2">
      <c r="A300" s="1" t="s">
        <v>326</v>
      </c>
      <c r="B300" s="2" t="s">
        <v>32</v>
      </c>
      <c r="C300" s="2" t="s">
        <v>327</v>
      </c>
      <c r="D300" s="2" t="s">
        <v>108</v>
      </c>
      <c r="E300" s="2">
        <v>2021</v>
      </c>
      <c r="F300" s="2" t="s">
        <v>311</v>
      </c>
      <c r="G300" s="2" t="s">
        <v>1669</v>
      </c>
      <c r="H300" s="2" t="s">
        <v>1669</v>
      </c>
      <c r="I300" s="1" t="s">
        <v>2151</v>
      </c>
      <c r="J300" s="1" t="s">
        <v>2152</v>
      </c>
      <c r="L300" s="53" t="s">
        <v>1670</v>
      </c>
      <c r="M300" s="39"/>
      <c r="N300" s="39"/>
      <c r="O300" s="39"/>
      <c r="P300" s="39"/>
      <c r="Q300" s="39"/>
      <c r="R300" s="39"/>
      <c r="S300" s="39"/>
      <c r="T300" s="39"/>
      <c r="U300" s="39"/>
      <c r="V300" s="39">
        <v>180</v>
      </c>
      <c r="W300" s="60" t="s">
        <v>1699</v>
      </c>
    </row>
    <row r="301" spans="1:23" ht="63.75" x14ac:dyDescent="0.2">
      <c r="A301" s="1" t="s">
        <v>89</v>
      </c>
      <c r="B301" s="2" t="s">
        <v>16</v>
      </c>
      <c r="C301" s="2" t="s">
        <v>90</v>
      </c>
      <c r="D301" s="2" t="s">
        <v>91</v>
      </c>
      <c r="E301" s="2">
        <v>2021</v>
      </c>
      <c r="F301" s="2" t="s">
        <v>1776</v>
      </c>
      <c r="G301" s="2" t="s">
        <v>1667</v>
      </c>
      <c r="H301" s="2" t="s">
        <v>1669</v>
      </c>
      <c r="I301" s="1" t="s">
        <v>14</v>
      </c>
      <c r="J301" s="1" t="s">
        <v>2153</v>
      </c>
      <c r="L301" s="53">
        <v>0.28039999999999998</v>
      </c>
      <c r="M301" s="39"/>
      <c r="N301" s="39"/>
      <c r="O301" s="39"/>
      <c r="P301" s="39"/>
      <c r="Q301" s="39"/>
      <c r="R301" s="39"/>
      <c r="S301" s="39">
        <v>91.44</v>
      </c>
      <c r="T301" s="39"/>
      <c r="U301" s="39"/>
      <c r="V301" s="39"/>
      <c r="W301" s="60"/>
    </row>
    <row r="302" spans="1:23" ht="51" x14ac:dyDescent="0.2">
      <c r="A302" s="1" t="s">
        <v>89</v>
      </c>
      <c r="B302" s="2" t="s">
        <v>16</v>
      </c>
      <c r="C302" s="2" t="s">
        <v>90</v>
      </c>
      <c r="D302" s="2" t="s">
        <v>91</v>
      </c>
      <c r="E302" s="2">
        <v>2021</v>
      </c>
      <c r="F302" s="2" t="s">
        <v>1779</v>
      </c>
      <c r="G302" s="2" t="s">
        <v>1667</v>
      </c>
      <c r="H302" s="2" t="s">
        <v>1669</v>
      </c>
      <c r="I302" s="1" t="s">
        <v>14</v>
      </c>
      <c r="J302" s="1" t="s">
        <v>2154</v>
      </c>
      <c r="L302" s="53">
        <v>0.31119999999999998</v>
      </c>
      <c r="M302" s="39"/>
      <c r="N302" s="39"/>
      <c r="O302" s="39"/>
      <c r="P302" s="39"/>
      <c r="Q302" s="39"/>
      <c r="R302" s="39"/>
      <c r="S302" s="39">
        <v>54.73</v>
      </c>
      <c r="T302" s="39"/>
      <c r="U302" s="39"/>
      <c r="V302" s="39"/>
      <c r="W302" s="60"/>
    </row>
    <row r="303" spans="1:23" ht="51" x14ac:dyDescent="0.2">
      <c r="A303" s="1" t="s">
        <v>89</v>
      </c>
      <c r="B303" s="2" t="s">
        <v>16</v>
      </c>
      <c r="C303" s="2" t="s">
        <v>90</v>
      </c>
      <c r="D303" s="2" t="s">
        <v>91</v>
      </c>
      <c r="E303" s="2">
        <v>2021</v>
      </c>
      <c r="F303" s="2" t="s">
        <v>1781</v>
      </c>
      <c r="G303" s="2" t="s">
        <v>1667</v>
      </c>
      <c r="H303" s="2" t="s">
        <v>1669</v>
      </c>
      <c r="I303" s="1" t="s">
        <v>14</v>
      </c>
      <c r="J303" s="1" t="s">
        <v>2155</v>
      </c>
      <c r="L303" s="53">
        <v>0.36599999999999999</v>
      </c>
      <c r="M303" s="39"/>
      <c r="N303" s="39"/>
      <c r="O303" s="39"/>
      <c r="P303" s="39"/>
      <c r="Q303" s="39"/>
      <c r="R303" s="39"/>
      <c r="S303" s="39">
        <v>65.38</v>
      </c>
      <c r="T303" s="39"/>
      <c r="U303" s="39"/>
      <c r="V303" s="39"/>
      <c r="W303" s="60"/>
    </row>
    <row r="304" spans="1:23" ht="38.25" x14ac:dyDescent="0.2">
      <c r="A304" s="1" t="s">
        <v>89</v>
      </c>
      <c r="B304" s="2" t="s">
        <v>16</v>
      </c>
      <c r="C304" s="2" t="s">
        <v>90</v>
      </c>
      <c r="D304" s="2" t="s">
        <v>91</v>
      </c>
      <c r="E304" s="2">
        <v>2021</v>
      </c>
      <c r="F304" s="2" t="s">
        <v>1783</v>
      </c>
      <c r="G304" s="2" t="s">
        <v>1667</v>
      </c>
      <c r="H304" s="2" t="s">
        <v>1669</v>
      </c>
      <c r="I304" s="1" t="s">
        <v>14</v>
      </c>
      <c r="J304" s="1" t="s">
        <v>2156</v>
      </c>
      <c r="L304" s="53">
        <v>0.37</v>
      </c>
      <c r="M304" s="39"/>
      <c r="N304" s="39"/>
      <c r="O304" s="39"/>
      <c r="P304" s="39"/>
      <c r="Q304" s="39"/>
      <c r="R304" s="39"/>
      <c r="S304" s="39">
        <v>44.87</v>
      </c>
      <c r="T304" s="39"/>
      <c r="U304" s="39"/>
      <c r="V304" s="39"/>
      <c r="W304" s="60"/>
    </row>
    <row r="305" spans="1:23" ht="51" x14ac:dyDescent="0.2">
      <c r="A305" s="1" t="s">
        <v>89</v>
      </c>
      <c r="B305" s="2" t="s">
        <v>16</v>
      </c>
      <c r="C305" s="2" t="s">
        <v>90</v>
      </c>
      <c r="D305" s="2" t="s">
        <v>91</v>
      </c>
      <c r="E305" s="2">
        <v>2021</v>
      </c>
      <c r="F305" s="2" t="s">
        <v>1785</v>
      </c>
      <c r="G305" s="2" t="s">
        <v>1667</v>
      </c>
      <c r="H305" s="2" t="s">
        <v>1669</v>
      </c>
      <c r="I305" s="1" t="s">
        <v>14</v>
      </c>
      <c r="J305" s="1" t="s">
        <v>2157</v>
      </c>
      <c r="L305" s="53">
        <v>0.36770000000000003</v>
      </c>
      <c r="M305" s="39"/>
      <c r="N305" s="39"/>
      <c r="O305" s="39"/>
      <c r="P305" s="39"/>
      <c r="Q305" s="39"/>
      <c r="R305" s="39"/>
      <c r="S305" s="39">
        <v>50.9</v>
      </c>
      <c r="T305" s="39"/>
      <c r="U305" s="39"/>
      <c r="V305" s="39"/>
      <c r="W305" s="60"/>
    </row>
    <row r="306" spans="1:23" ht="51" x14ac:dyDescent="0.2">
      <c r="A306" s="1" t="s">
        <v>89</v>
      </c>
      <c r="B306" s="2" t="s">
        <v>16</v>
      </c>
      <c r="C306" s="2" t="s">
        <v>90</v>
      </c>
      <c r="D306" s="2" t="s">
        <v>91</v>
      </c>
      <c r="E306" s="2">
        <v>2021</v>
      </c>
      <c r="F306" s="2" t="s">
        <v>1787</v>
      </c>
      <c r="G306" s="2" t="s">
        <v>1667</v>
      </c>
      <c r="H306" s="2" t="s">
        <v>1669</v>
      </c>
      <c r="I306" s="1" t="s">
        <v>14</v>
      </c>
      <c r="J306" s="1" t="s">
        <v>2158</v>
      </c>
      <c r="L306" s="53">
        <v>0.36559999999999998</v>
      </c>
      <c r="M306" s="39"/>
      <c r="N306" s="39"/>
      <c r="O306" s="39"/>
      <c r="P306" s="39"/>
      <c r="Q306" s="39"/>
      <c r="R306" s="39"/>
      <c r="S306" s="39">
        <v>118.15</v>
      </c>
      <c r="T306" s="39"/>
      <c r="U306" s="39"/>
      <c r="V306" s="39"/>
      <c r="W306" s="60"/>
    </row>
    <row r="307" spans="1:23" ht="51" x14ac:dyDescent="0.2">
      <c r="A307" s="1" t="s">
        <v>89</v>
      </c>
      <c r="B307" s="2" t="s">
        <v>16</v>
      </c>
      <c r="C307" s="2" t="s">
        <v>90</v>
      </c>
      <c r="D307" s="2" t="s">
        <v>91</v>
      </c>
      <c r="E307" s="2">
        <v>2021</v>
      </c>
      <c r="F307" s="2" t="s">
        <v>1789</v>
      </c>
      <c r="G307" s="2" t="s">
        <v>1667</v>
      </c>
      <c r="H307" s="2" t="s">
        <v>1669</v>
      </c>
      <c r="I307" s="1" t="s">
        <v>14</v>
      </c>
      <c r="J307" s="1" t="s">
        <v>2159</v>
      </c>
      <c r="L307" s="53">
        <v>0.43125000000000002</v>
      </c>
      <c r="M307" s="39"/>
      <c r="N307" s="39"/>
      <c r="O307" s="39"/>
      <c r="P307" s="39"/>
      <c r="Q307" s="39"/>
      <c r="R307" s="39"/>
      <c r="S307" s="39">
        <v>51.48</v>
      </c>
      <c r="T307" s="39"/>
      <c r="U307" s="39"/>
      <c r="V307" s="39"/>
      <c r="W307" s="60"/>
    </row>
    <row r="308" spans="1:23" ht="51" x14ac:dyDescent="0.2">
      <c r="A308" s="1" t="s">
        <v>89</v>
      </c>
      <c r="B308" s="2" t="s">
        <v>16</v>
      </c>
      <c r="C308" s="2" t="s">
        <v>90</v>
      </c>
      <c r="D308" s="2" t="s">
        <v>91</v>
      </c>
      <c r="E308" s="2">
        <v>2021</v>
      </c>
      <c r="F308" s="2" t="s">
        <v>1791</v>
      </c>
      <c r="G308" s="2" t="s">
        <v>1667</v>
      </c>
      <c r="H308" s="2" t="s">
        <v>1669</v>
      </c>
      <c r="I308" s="1" t="s">
        <v>14</v>
      </c>
      <c r="J308" s="1" t="s">
        <v>2160</v>
      </c>
      <c r="L308" s="53">
        <v>0.441</v>
      </c>
      <c r="M308" s="39"/>
      <c r="N308" s="39"/>
      <c r="O308" s="39"/>
      <c r="P308" s="39"/>
      <c r="Q308" s="39"/>
      <c r="R308" s="39"/>
      <c r="S308" s="39">
        <v>67.34</v>
      </c>
      <c r="T308" s="39"/>
      <c r="U308" s="39"/>
      <c r="V308" s="39"/>
      <c r="W308" s="60"/>
    </row>
    <row r="309" spans="1:23" ht="51" x14ac:dyDescent="0.2">
      <c r="A309" s="1" t="s">
        <v>89</v>
      </c>
      <c r="B309" s="2" t="s">
        <v>16</v>
      </c>
      <c r="C309" s="2" t="s">
        <v>90</v>
      </c>
      <c r="D309" s="2" t="s">
        <v>91</v>
      </c>
      <c r="E309" s="2">
        <v>2021</v>
      </c>
      <c r="F309" s="2" t="s">
        <v>311</v>
      </c>
      <c r="G309" s="2" t="s">
        <v>1667</v>
      </c>
      <c r="H309" s="2" t="s">
        <v>1669</v>
      </c>
      <c r="I309" s="1" t="s">
        <v>14</v>
      </c>
      <c r="J309" s="1" t="s">
        <v>2161</v>
      </c>
      <c r="L309" s="53">
        <v>0.4</v>
      </c>
      <c r="M309" s="39"/>
      <c r="N309" s="39"/>
      <c r="O309" s="39"/>
      <c r="P309" s="39"/>
      <c r="Q309" s="39"/>
      <c r="R309" s="39"/>
      <c r="S309" s="39">
        <v>63.05</v>
      </c>
      <c r="T309" s="39"/>
      <c r="U309" s="39"/>
      <c r="V309" s="39"/>
      <c r="W309" s="60"/>
    </row>
    <row r="310" spans="1:23" ht="51" x14ac:dyDescent="0.2">
      <c r="A310" s="1" t="s">
        <v>89</v>
      </c>
      <c r="B310" s="2" t="s">
        <v>16</v>
      </c>
      <c r="C310" s="2" t="s">
        <v>90</v>
      </c>
      <c r="D310" s="2" t="s">
        <v>91</v>
      </c>
      <c r="E310" s="2">
        <v>2021</v>
      </c>
      <c r="F310" s="2" t="s">
        <v>1794</v>
      </c>
      <c r="G310" s="2" t="s">
        <v>1667</v>
      </c>
      <c r="H310" s="2" t="s">
        <v>1669</v>
      </c>
      <c r="I310" s="1" t="s">
        <v>14</v>
      </c>
      <c r="J310" s="1" t="s">
        <v>2162</v>
      </c>
      <c r="L310" s="53">
        <v>0.38329999999999997</v>
      </c>
      <c r="M310" s="39"/>
      <c r="N310" s="39"/>
      <c r="O310" s="39"/>
      <c r="P310" s="39"/>
      <c r="Q310" s="39"/>
      <c r="R310" s="39"/>
      <c r="S310" s="39">
        <v>56.85</v>
      </c>
      <c r="T310" s="39"/>
      <c r="U310" s="39"/>
      <c r="V310" s="39"/>
      <c r="W310" s="60"/>
    </row>
    <row r="311" spans="1:23" ht="38.25" x14ac:dyDescent="0.2">
      <c r="A311" s="1" t="s">
        <v>89</v>
      </c>
      <c r="B311" s="2" t="s">
        <v>16</v>
      </c>
      <c r="C311" s="2" t="s">
        <v>90</v>
      </c>
      <c r="D311" s="2" t="s">
        <v>91</v>
      </c>
      <c r="E311" s="2">
        <v>2021</v>
      </c>
      <c r="F311" s="2" t="s">
        <v>1796</v>
      </c>
      <c r="G311" s="2" t="s">
        <v>1667</v>
      </c>
      <c r="H311" s="2" t="s">
        <v>1669</v>
      </c>
      <c r="I311" s="1" t="s">
        <v>14</v>
      </c>
      <c r="J311" s="1" t="s">
        <v>2163</v>
      </c>
      <c r="L311" s="53">
        <v>0.36</v>
      </c>
      <c r="M311" s="39"/>
      <c r="N311" s="39"/>
      <c r="O311" s="39"/>
      <c r="P311" s="39"/>
      <c r="Q311" s="39"/>
      <c r="R311" s="39"/>
      <c r="S311" s="39">
        <v>61.04</v>
      </c>
      <c r="T311" s="39"/>
      <c r="U311" s="39"/>
      <c r="V311" s="39"/>
      <c r="W311" s="60"/>
    </row>
    <row r="312" spans="1:23" ht="38.25" x14ac:dyDescent="0.2">
      <c r="A312" s="1" t="s">
        <v>89</v>
      </c>
      <c r="B312" s="2" t="s">
        <v>16</v>
      </c>
      <c r="C312" s="2" t="s">
        <v>90</v>
      </c>
      <c r="D312" s="2" t="s">
        <v>91</v>
      </c>
      <c r="E312" s="2">
        <v>2021</v>
      </c>
      <c r="F312" s="2" t="s">
        <v>1798</v>
      </c>
      <c r="G312" s="2" t="s">
        <v>1667</v>
      </c>
      <c r="H312" s="2" t="s">
        <v>1669</v>
      </c>
      <c r="I312" s="1" t="s">
        <v>14</v>
      </c>
      <c r="J312" s="1" t="s">
        <v>2164</v>
      </c>
      <c r="L312" s="53">
        <v>0.38329999999999997</v>
      </c>
      <c r="M312" s="39"/>
      <c r="N312" s="39"/>
      <c r="O312" s="39"/>
      <c r="P312" s="39"/>
      <c r="Q312" s="39"/>
      <c r="R312" s="39"/>
      <c r="S312" s="39">
        <v>61.34</v>
      </c>
      <c r="T312" s="39"/>
      <c r="U312" s="39"/>
      <c r="V312" s="39"/>
      <c r="W312" s="60"/>
    </row>
    <row r="313" spans="1:23" ht="153" x14ac:dyDescent="0.2">
      <c r="A313" s="1" t="s">
        <v>2165</v>
      </c>
      <c r="B313" s="2" t="s">
        <v>196</v>
      </c>
      <c r="C313" s="2" t="s">
        <v>2166</v>
      </c>
      <c r="D313" s="2" t="s">
        <v>92</v>
      </c>
      <c r="E313" s="2">
        <v>2021</v>
      </c>
      <c r="F313" s="2" t="s">
        <v>311</v>
      </c>
      <c r="G313" s="2" t="s">
        <v>1669</v>
      </c>
      <c r="H313" s="2" t="s">
        <v>1668</v>
      </c>
      <c r="I313" s="1" t="s">
        <v>2167</v>
      </c>
      <c r="J313" s="1" t="s">
        <v>14</v>
      </c>
      <c r="L313" s="53"/>
      <c r="M313" s="39"/>
      <c r="N313" s="39"/>
      <c r="O313" s="39"/>
      <c r="P313" s="39"/>
      <c r="Q313" s="39"/>
      <c r="R313" s="39"/>
      <c r="S313" s="39"/>
      <c r="T313" s="39"/>
      <c r="U313" s="39"/>
      <c r="V313" s="39"/>
      <c r="W313" s="60" t="s">
        <v>1706</v>
      </c>
    </row>
    <row r="314" spans="1:23" ht="127.5" x14ac:dyDescent="0.2">
      <c r="A314" s="1" t="s">
        <v>2168</v>
      </c>
      <c r="B314" s="2" t="s">
        <v>196</v>
      </c>
      <c r="C314" s="2" t="s">
        <v>352</v>
      </c>
      <c r="D314" s="2" t="s">
        <v>58</v>
      </c>
      <c r="E314" s="2">
        <v>2021</v>
      </c>
      <c r="F314" s="2" t="s">
        <v>1791</v>
      </c>
      <c r="G314" s="2" t="s">
        <v>1668</v>
      </c>
      <c r="H314" s="2" t="s">
        <v>1669</v>
      </c>
      <c r="I314" s="1" t="s">
        <v>14</v>
      </c>
      <c r="J314" s="1" t="s">
        <v>2169</v>
      </c>
      <c r="L314" s="53">
        <v>0.22800000000000001</v>
      </c>
      <c r="M314" s="39"/>
      <c r="N314" s="39"/>
      <c r="O314" s="39">
        <f>948.55/L314</f>
        <v>4160.3070175438597</v>
      </c>
      <c r="P314" s="39"/>
      <c r="Q314" s="39"/>
      <c r="R314" s="39"/>
      <c r="S314" s="39"/>
      <c r="T314" s="39"/>
      <c r="U314" s="39"/>
      <c r="V314" s="39"/>
      <c r="W314" s="60" t="s">
        <v>2143</v>
      </c>
    </row>
    <row r="315" spans="1:23" ht="25.5" x14ac:dyDescent="0.2">
      <c r="A315" s="1" t="s">
        <v>2170</v>
      </c>
      <c r="B315" s="2" t="s">
        <v>196</v>
      </c>
      <c r="C315" s="2" t="s">
        <v>2171</v>
      </c>
      <c r="D315" s="2" t="s">
        <v>2171</v>
      </c>
      <c r="E315" s="2">
        <v>2021</v>
      </c>
      <c r="F315" s="2" t="s">
        <v>1794</v>
      </c>
      <c r="G315" s="2" t="s">
        <v>1669</v>
      </c>
      <c r="H315" s="2" t="s">
        <v>1668</v>
      </c>
      <c r="I315" s="1" t="s">
        <v>2172</v>
      </c>
      <c r="J315" s="1" t="s">
        <v>14</v>
      </c>
      <c r="L315" s="53"/>
      <c r="M315" s="39"/>
      <c r="N315" s="39"/>
      <c r="O315" s="39"/>
      <c r="P315" s="39"/>
      <c r="Q315" s="39"/>
      <c r="R315" s="39"/>
      <c r="S315" s="39"/>
      <c r="T315" s="39"/>
      <c r="U315" s="39"/>
      <c r="V315" s="39"/>
      <c r="W315" s="60" t="s">
        <v>1706</v>
      </c>
    </row>
    <row r="316" spans="1:23" ht="51" x14ac:dyDescent="0.2">
      <c r="A316" s="1" t="s">
        <v>2170</v>
      </c>
      <c r="B316" s="2" t="s">
        <v>196</v>
      </c>
      <c r="C316" s="2" t="s">
        <v>2171</v>
      </c>
      <c r="D316" s="2" t="s">
        <v>2171</v>
      </c>
      <c r="E316" s="2">
        <v>2021</v>
      </c>
      <c r="F316" s="2" t="s">
        <v>1796</v>
      </c>
      <c r="G316" s="2" t="s">
        <v>1669</v>
      </c>
      <c r="H316" s="2" t="s">
        <v>1668</v>
      </c>
      <c r="I316" s="1" t="s">
        <v>2173</v>
      </c>
      <c r="J316" s="1" t="s">
        <v>14</v>
      </c>
      <c r="L316" s="53"/>
      <c r="M316" s="39"/>
      <c r="N316" s="39"/>
      <c r="O316" s="39"/>
      <c r="P316" s="39"/>
      <c r="Q316" s="39"/>
      <c r="R316" s="39"/>
      <c r="S316" s="39"/>
      <c r="T316" s="39"/>
      <c r="U316" s="39"/>
      <c r="V316" s="39"/>
      <c r="W316" s="60" t="s">
        <v>1706</v>
      </c>
    </row>
    <row r="317" spans="1:23" ht="25.5" x14ac:dyDescent="0.2">
      <c r="A317" s="1" t="s">
        <v>2174</v>
      </c>
      <c r="B317" s="2" t="s">
        <v>69</v>
      </c>
      <c r="C317" s="2" t="s">
        <v>2175</v>
      </c>
      <c r="D317" s="2" t="s">
        <v>121</v>
      </c>
      <c r="E317" s="2">
        <v>2021</v>
      </c>
      <c r="F317" s="2" t="s">
        <v>1791</v>
      </c>
      <c r="G317" s="2" t="s">
        <v>1667</v>
      </c>
      <c r="H317" s="2" t="s">
        <v>1669</v>
      </c>
      <c r="I317" s="1" t="s">
        <v>14</v>
      </c>
      <c r="J317" s="1" t="s">
        <v>2176</v>
      </c>
      <c r="L317" s="53" t="s">
        <v>1670</v>
      </c>
      <c r="M317" s="39"/>
      <c r="N317" s="39"/>
      <c r="O317" s="39"/>
      <c r="P317" s="39"/>
      <c r="Q317" s="39"/>
      <c r="R317" s="39"/>
      <c r="S317" s="39"/>
      <c r="T317" s="39"/>
      <c r="U317" s="39"/>
      <c r="V317" s="39">
        <v>58.63</v>
      </c>
      <c r="W317" s="60"/>
    </row>
    <row r="318" spans="1:23" ht="25.5" x14ac:dyDescent="0.2">
      <c r="A318" s="1" t="s">
        <v>2177</v>
      </c>
      <c r="B318" s="2" t="s">
        <v>196</v>
      </c>
      <c r="C318" s="2" t="s">
        <v>2178</v>
      </c>
      <c r="D318" s="2" t="s">
        <v>268</v>
      </c>
      <c r="E318" s="2">
        <v>2021</v>
      </c>
      <c r="F318" s="2" t="s">
        <v>1787</v>
      </c>
      <c r="G318" s="2" t="s">
        <v>1668</v>
      </c>
      <c r="H318" s="2" t="s">
        <v>1669</v>
      </c>
      <c r="I318" s="1" t="s">
        <v>14</v>
      </c>
      <c r="J318" s="1" t="s">
        <v>2179</v>
      </c>
      <c r="L318" s="53"/>
      <c r="M318" s="39"/>
      <c r="N318" s="39"/>
      <c r="O318" s="39"/>
      <c r="P318" s="39"/>
      <c r="Q318" s="39"/>
      <c r="R318" s="39"/>
      <c r="S318" s="39"/>
      <c r="T318" s="39"/>
      <c r="U318" s="39"/>
      <c r="V318" s="39"/>
      <c r="W318" s="60" t="s">
        <v>1683</v>
      </c>
    </row>
    <row r="319" spans="1:23" ht="25.5" x14ac:dyDescent="0.2">
      <c r="A319" s="1" t="s">
        <v>2180</v>
      </c>
      <c r="B319" s="2" t="s">
        <v>222</v>
      </c>
      <c r="C319" s="2" t="s">
        <v>2181</v>
      </c>
      <c r="D319" s="2" t="s">
        <v>419</v>
      </c>
      <c r="E319" s="2">
        <v>2021</v>
      </c>
      <c r="F319" s="2" t="s">
        <v>1785</v>
      </c>
      <c r="G319" s="2" t="s">
        <v>1669</v>
      </c>
      <c r="H319" s="2" t="s">
        <v>1669</v>
      </c>
      <c r="I319" s="1" t="s">
        <v>2182</v>
      </c>
      <c r="J319" s="1" t="s">
        <v>2183</v>
      </c>
      <c r="L319" s="53"/>
      <c r="M319" s="39"/>
      <c r="N319" s="39"/>
      <c r="O319" s="39"/>
      <c r="P319" s="39"/>
      <c r="Q319" s="39"/>
      <c r="R319" s="39"/>
      <c r="S319" s="39"/>
      <c r="T319" s="39"/>
      <c r="U319" s="39"/>
      <c r="V319" s="39"/>
      <c r="W319" s="60" t="s">
        <v>1683</v>
      </c>
    </row>
    <row r="320" spans="1:23" ht="25.5" x14ac:dyDescent="0.2">
      <c r="A320" s="1" t="s">
        <v>2180</v>
      </c>
      <c r="B320" s="2" t="s">
        <v>222</v>
      </c>
      <c r="C320" s="2" t="s">
        <v>2181</v>
      </c>
      <c r="D320" s="2" t="s">
        <v>419</v>
      </c>
      <c r="E320" s="2">
        <v>2021</v>
      </c>
      <c r="F320" s="2" t="s">
        <v>1794</v>
      </c>
      <c r="G320" s="2" t="s">
        <v>1669</v>
      </c>
      <c r="H320" s="2" t="s">
        <v>1669</v>
      </c>
      <c r="I320" s="1" t="s">
        <v>2184</v>
      </c>
      <c r="J320" s="1" t="s">
        <v>2185</v>
      </c>
      <c r="L320" s="53" t="s">
        <v>1670</v>
      </c>
      <c r="M320" s="39"/>
      <c r="N320" s="39"/>
      <c r="O320" s="39">
        <v>145</v>
      </c>
      <c r="P320" s="39"/>
      <c r="Q320" s="39"/>
      <c r="R320" s="39"/>
      <c r="S320" s="39"/>
      <c r="T320" s="39"/>
      <c r="U320" s="39"/>
      <c r="V320" s="39"/>
      <c r="W320" s="60" t="s">
        <v>1682</v>
      </c>
    </row>
    <row r="321" spans="1:23" ht="38.25" x14ac:dyDescent="0.2">
      <c r="A321" s="1" t="s">
        <v>2186</v>
      </c>
      <c r="B321" s="2" t="s">
        <v>2187</v>
      </c>
      <c r="C321" s="2" t="s">
        <v>2188</v>
      </c>
      <c r="D321" s="2" t="s">
        <v>2171</v>
      </c>
      <c r="E321" s="2">
        <v>2021</v>
      </c>
      <c r="F321" s="2" t="s">
        <v>1794</v>
      </c>
      <c r="G321" s="2" t="s">
        <v>1669</v>
      </c>
      <c r="H321" s="2" t="s">
        <v>1669</v>
      </c>
      <c r="I321" s="1" t="s">
        <v>2189</v>
      </c>
      <c r="J321" s="1" t="s">
        <v>2190</v>
      </c>
      <c r="L321" s="53" t="s">
        <v>1670</v>
      </c>
      <c r="M321" s="39">
        <f>68+100</f>
        <v>168</v>
      </c>
      <c r="N321" s="39"/>
      <c r="O321" s="39"/>
      <c r="P321" s="39"/>
      <c r="Q321" s="39"/>
      <c r="R321" s="39"/>
      <c r="S321" s="39"/>
      <c r="T321" s="39"/>
      <c r="U321" s="39"/>
      <c r="V321" s="39"/>
      <c r="W321" s="60" t="s">
        <v>1682</v>
      </c>
    </row>
    <row r="322" spans="1:23" ht="25.5" x14ac:dyDescent="0.2">
      <c r="A322" s="1" t="s">
        <v>142</v>
      </c>
      <c r="B322" s="2" t="s">
        <v>53</v>
      </c>
      <c r="C322" s="2" t="s">
        <v>143</v>
      </c>
      <c r="D322" s="2" t="s">
        <v>71</v>
      </c>
      <c r="E322" s="2">
        <v>2021</v>
      </c>
      <c r="F322" s="2" t="s">
        <v>1776</v>
      </c>
      <c r="G322" s="2" t="s">
        <v>1667</v>
      </c>
      <c r="H322" s="2" t="s">
        <v>1669</v>
      </c>
      <c r="I322" s="1" t="s">
        <v>14</v>
      </c>
      <c r="J322" s="1" t="s">
        <v>2191</v>
      </c>
      <c r="L322" s="53">
        <v>0.155</v>
      </c>
      <c r="M322" s="39">
        <v>69.459999999999994</v>
      </c>
      <c r="N322" s="39"/>
      <c r="O322" s="39"/>
      <c r="P322" s="39"/>
      <c r="Q322" s="39"/>
      <c r="R322" s="39"/>
      <c r="S322" s="39"/>
      <c r="T322" s="39"/>
      <c r="U322" s="39"/>
      <c r="V322" s="39"/>
      <c r="W322" s="60"/>
    </row>
    <row r="323" spans="1:23" ht="25.5" x14ac:dyDescent="0.2">
      <c r="A323" s="1" t="s">
        <v>142</v>
      </c>
      <c r="B323" s="2" t="s">
        <v>53</v>
      </c>
      <c r="C323" s="2" t="s">
        <v>143</v>
      </c>
      <c r="D323" s="2" t="s">
        <v>71</v>
      </c>
      <c r="E323" s="2">
        <v>2021</v>
      </c>
      <c r="F323" s="2" t="s">
        <v>1779</v>
      </c>
      <c r="G323" s="2" t="s">
        <v>1667</v>
      </c>
      <c r="H323" s="2" t="s">
        <v>1669</v>
      </c>
      <c r="I323" s="1" t="s">
        <v>14</v>
      </c>
      <c r="J323" s="1" t="s">
        <v>2192</v>
      </c>
      <c r="L323" s="53">
        <v>0.161</v>
      </c>
      <c r="M323" s="39">
        <v>64.010000000000005</v>
      </c>
      <c r="N323" s="39"/>
      <c r="O323" s="39"/>
      <c r="P323" s="39"/>
      <c r="Q323" s="39"/>
      <c r="R323" s="39"/>
      <c r="S323" s="39"/>
      <c r="T323" s="39"/>
      <c r="U323" s="39"/>
      <c r="V323" s="39"/>
      <c r="W323" s="60"/>
    </row>
    <row r="324" spans="1:23" ht="25.5" x14ac:dyDescent="0.2">
      <c r="A324" s="1" t="s">
        <v>142</v>
      </c>
      <c r="B324" s="2" t="s">
        <v>53</v>
      </c>
      <c r="C324" s="2" t="s">
        <v>143</v>
      </c>
      <c r="D324" s="2" t="s">
        <v>71</v>
      </c>
      <c r="E324" s="2">
        <v>2021</v>
      </c>
      <c r="F324" s="2" t="s">
        <v>1781</v>
      </c>
      <c r="G324" s="2" t="s">
        <v>1667</v>
      </c>
      <c r="H324" s="2" t="s">
        <v>1669</v>
      </c>
      <c r="I324" s="1" t="s">
        <v>14</v>
      </c>
      <c r="J324" s="1" t="s">
        <v>2193</v>
      </c>
      <c r="L324" s="53">
        <v>0.16700000000000001</v>
      </c>
      <c r="M324" s="39">
        <v>92.22</v>
      </c>
      <c r="N324" s="39"/>
      <c r="O324" s="39"/>
      <c r="P324" s="39"/>
      <c r="Q324" s="39"/>
      <c r="R324" s="39"/>
      <c r="S324" s="39"/>
      <c r="T324" s="39"/>
      <c r="U324" s="39"/>
      <c r="V324" s="39"/>
      <c r="W324" s="60"/>
    </row>
    <row r="325" spans="1:23" ht="25.5" x14ac:dyDescent="0.2">
      <c r="A325" s="1" t="s">
        <v>142</v>
      </c>
      <c r="B325" s="2" t="s">
        <v>53</v>
      </c>
      <c r="C325" s="2" t="s">
        <v>143</v>
      </c>
      <c r="D325" s="2" t="s">
        <v>71</v>
      </c>
      <c r="E325" s="2">
        <v>2021</v>
      </c>
      <c r="F325" s="2" t="s">
        <v>1783</v>
      </c>
      <c r="G325" s="2" t="s">
        <v>1667</v>
      </c>
      <c r="H325" s="2" t="s">
        <v>1669</v>
      </c>
      <c r="I325" s="1" t="s">
        <v>14</v>
      </c>
      <c r="J325" s="1" t="s">
        <v>2194</v>
      </c>
      <c r="L325" s="53">
        <v>0.17</v>
      </c>
      <c r="M325" s="39">
        <v>84.02</v>
      </c>
      <c r="N325" s="39"/>
      <c r="O325" s="39"/>
      <c r="P325" s="39"/>
      <c r="Q325" s="39"/>
      <c r="R325" s="39"/>
      <c r="S325" s="39"/>
      <c r="T325" s="39"/>
      <c r="U325" s="39"/>
      <c r="V325" s="39"/>
      <c r="W325" s="60"/>
    </row>
    <row r="326" spans="1:23" ht="25.5" x14ac:dyDescent="0.2">
      <c r="A326" s="1" t="s">
        <v>142</v>
      </c>
      <c r="B326" s="2" t="s">
        <v>53</v>
      </c>
      <c r="C326" s="2" t="s">
        <v>143</v>
      </c>
      <c r="D326" s="2" t="s">
        <v>71</v>
      </c>
      <c r="E326" s="2">
        <v>2021</v>
      </c>
      <c r="F326" s="2" t="s">
        <v>1785</v>
      </c>
      <c r="G326" s="2" t="s">
        <v>1667</v>
      </c>
      <c r="H326" s="2" t="s">
        <v>1669</v>
      </c>
      <c r="I326" s="1" t="s">
        <v>14</v>
      </c>
      <c r="J326" s="1" t="s">
        <v>2195</v>
      </c>
      <c r="L326" s="53">
        <v>0.17599999999999999</v>
      </c>
      <c r="M326" s="39"/>
      <c r="N326" s="39"/>
      <c r="O326" s="39">
        <v>74.510000000000005</v>
      </c>
      <c r="P326" s="39"/>
      <c r="Q326" s="39"/>
      <c r="R326" s="39"/>
      <c r="S326" s="39"/>
      <c r="T326" s="39"/>
      <c r="U326" s="39"/>
      <c r="V326" s="39"/>
      <c r="W326" s="60"/>
    </row>
    <row r="327" spans="1:23" ht="38.25" x14ac:dyDescent="0.2">
      <c r="A327" s="1" t="s">
        <v>142</v>
      </c>
      <c r="B327" s="2" t="s">
        <v>53</v>
      </c>
      <c r="C327" s="2" t="s">
        <v>143</v>
      </c>
      <c r="D327" s="2" t="s">
        <v>71</v>
      </c>
      <c r="E327" s="2">
        <v>2021</v>
      </c>
      <c r="F327" s="2" t="s">
        <v>1787</v>
      </c>
      <c r="G327" s="2" t="s">
        <v>1667</v>
      </c>
      <c r="H327" s="2" t="s">
        <v>1669</v>
      </c>
      <c r="I327" s="1" t="s">
        <v>14</v>
      </c>
      <c r="J327" s="1" t="s">
        <v>2196</v>
      </c>
      <c r="L327" s="53">
        <v>0.17</v>
      </c>
      <c r="M327" s="39"/>
      <c r="N327" s="39"/>
      <c r="O327" s="39">
        <v>90.48</v>
      </c>
      <c r="P327" s="39"/>
      <c r="Q327" s="39"/>
      <c r="R327" s="39"/>
      <c r="S327" s="39"/>
      <c r="T327" s="39"/>
      <c r="U327" s="39"/>
      <c r="V327" s="39"/>
      <c r="W327" s="60"/>
    </row>
    <row r="328" spans="1:23" ht="38.25" x14ac:dyDescent="0.2">
      <c r="A328" s="1" t="s">
        <v>142</v>
      </c>
      <c r="B328" s="2" t="s">
        <v>53</v>
      </c>
      <c r="C328" s="2" t="s">
        <v>143</v>
      </c>
      <c r="D328" s="2" t="s">
        <v>71</v>
      </c>
      <c r="E328" s="2">
        <v>2021</v>
      </c>
      <c r="F328" s="2" t="s">
        <v>1789</v>
      </c>
      <c r="G328" s="2" t="s">
        <v>1667</v>
      </c>
      <c r="H328" s="2" t="s">
        <v>1669</v>
      </c>
      <c r="I328" s="1" t="s">
        <v>14</v>
      </c>
      <c r="J328" s="1" t="s">
        <v>2197</v>
      </c>
      <c r="L328" s="53">
        <v>0.17480000000000001</v>
      </c>
      <c r="M328" s="39"/>
      <c r="N328" s="39"/>
      <c r="O328" s="39">
        <v>89.68</v>
      </c>
      <c r="P328" s="39"/>
      <c r="Q328" s="39"/>
      <c r="R328" s="39"/>
      <c r="S328" s="39"/>
      <c r="T328" s="39"/>
      <c r="U328" s="39"/>
      <c r="V328" s="39"/>
      <c r="W328" s="60"/>
    </row>
    <row r="329" spans="1:23" ht="38.25" x14ac:dyDescent="0.2">
      <c r="A329" s="1" t="s">
        <v>142</v>
      </c>
      <c r="B329" s="2" t="s">
        <v>53</v>
      </c>
      <c r="C329" s="2" t="s">
        <v>143</v>
      </c>
      <c r="D329" s="2" t="s">
        <v>71</v>
      </c>
      <c r="E329" s="2">
        <v>2021</v>
      </c>
      <c r="F329" s="2" t="s">
        <v>1791</v>
      </c>
      <c r="G329" s="2" t="s">
        <v>1667</v>
      </c>
      <c r="H329" s="2" t="s">
        <v>1669</v>
      </c>
      <c r="I329" s="1" t="s">
        <v>14</v>
      </c>
      <c r="J329" s="1" t="s">
        <v>2198</v>
      </c>
      <c r="L329" s="53">
        <v>0.16619999999999999</v>
      </c>
      <c r="M329" s="39"/>
      <c r="N329" s="39"/>
      <c r="O329" s="39">
        <v>84.45</v>
      </c>
      <c r="P329" s="39"/>
      <c r="Q329" s="39"/>
      <c r="R329" s="39"/>
      <c r="S329" s="39"/>
      <c r="T329" s="39"/>
      <c r="U329" s="39"/>
      <c r="V329" s="39"/>
      <c r="W329" s="60"/>
    </row>
    <row r="330" spans="1:23" ht="38.25" x14ac:dyDescent="0.2">
      <c r="A330" s="1" t="s">
        <v>142</v>
      </c>
      <c r="B330" s="2" t="s">
        <v>53</v>
      </c>
      <c r="C330" s="2" t="s">
        <v>143</v>
      </c>
      <c r="D330" s="2" t="s">
        <v>71</v>
      </c>
      <c r="E330" s="2">
        <v>2021</v>
      </c>
      <c r="F330" s="2" t="s">
        <v>311</v>
      </c>
      <c r="G330" s="2" t="s">
        <v>1667</v>
      </c>
      <c r="H330" s="2" t="s">
        <v>1669</v>
      </c>
      <c r="I330" s="1" t="s">
        <v>14</v>
      </c>
      <c r="J330" s="1" t="s">
        <v>2199</v>
      </c>
      <c r="L330" s="53">
        <v>0.16320000000000001</v>
      </c>
      <c r="M330" s="39"/>
      <c r="N330" s="39"/>
      <c r="O330" s="39">
        <v>102.61</v>
      </c>
      <c r="P330" s="39"/>
      <c r="Q330" s="39"/>
      <c r="R330" s="39"/>
      <c r="S330" s="39"/>
      <c r="T330" s="39"/>
      <c r="U330" s="39"/>
      <c r="V330" s="39"/>
      <c r="W330" s="60"/>
    </row>
    <row r="331" spans="1:23" ht="63.75" x14ac:dyDescent="0.2">
      <c r="A331" s="1" t="s">
        <v>142</v>
      </c>
      <c r="B331" s="2" t="s">
        <v>53</v>
      </c>
      <c r="C331" s="2" t="s">
        <v>143</v>
      </c>
      <c r="D331" s="2" t="s">
        <v>71</v>
      </c>
      <c r="E331" s="2">
        <v>2021</v>
      </c>
      <c r="F331" s="2" t="s">
        <v>1794</v>
      </c>
      <c r="G331" s="2" t="s">
        <v>1667</v>
      </c>
      <c r="H331" s="2" t="s">
        <v>1669</v>
      </c>
      <c r="I331" s="1" t="s">
        <v>14</v>
      </c>
      <c r="J331" s="1" t="s">
        <v>2200</v>
      </c>
      <c r="L331" s="53">
        <v>0.16500000000000001</v>
      </c>
      <c r="M331" s="39">
        <v>27.45</v>
      </c>
      <c r="N331" s="39"/>
      <c r="O331" s="39">
        <v>29.93</v>
      </c>
      <c r="P331" s="39"/>
      <c r="Q331" s="39"/>
      <c r="R331" s="39"/>
      <c r="S331" s="39"/>
      <c r="T331" s="39"/>
      <c r="U331" s="39"/>
      <c r="V331" s="39"/>
      <c r="W331" s="60"/>
    </row>
    <row r="332" spans="1:23" ht="38.25" x14ac:dyDescent="0.2">
      <c r="A332" s="1" t="s">
        <v>142</v>
      </c>
      <c r="B332" s="2" t="s">
        <v>53</v>
      </c>
      <c r="C332" s="2" t="s">
        <v>143</v>
      </c>
      <c r="D332" s="2" t="s">
        <v>71</v>
      </c>
      <c r="E332" s="2">
        <v>2021</v>
      </c>
      <c r="F332" s="2" t="s">
        <v>1796</v>
      </c>
      <c r="G332" s="2" t="s">
        <v>1667</v>
      </c>
      <c r="H332" s="2" t="s">
        <v>1669</v>
      </c>
      <c r="I332" s="1" t="s">
        <v>14</v>
      </c>
      <c r="J332" s="1" t="s">
        <v>2201</v>
      </c>
      <c r="L332" s="53">
        <v>0.17080000000000001</v>
      </c>
      <c r="M332" s="39">
        <v>88.67</v>
      </c>
      <c r="N332" s="39"/>
      <c r="O332" s="39"/>
      <c r="P332" s="39"/>
      <c r="Q332" s="39"/>
      <c r="R332" s="39"/>
      <c r="S332" s="39"/>
      <c r="T332" s="39"/>
      <c r="U332" s="39"/>
      <c r="V332" s="39"/>
      <c r="W332" s="60"/>
    </row>
    <row r="333" spans="1:23" ht="38.25" x14ac:dyDescent="0.2">
      <c r="A333" s="1" t="s">
        <v>142</v>
      </c>
      <c r="B333" s="2" t="s">
        <v>53</v>
      </c>
      <c r="C333" s="2" t="s">
        <v>143</v>
      </c>
      <c r="D333" s="2" t="s">
        <v>71</v>
      </c>
      <c r="E333" s="2">
        <v>2021</v>
      </c>
      <c r="F333" s="2" t="s">
        <v>1798</v>
      </c>
      <c r="G333" s="2" t="s">
        <v>1667</v>
      </c>
      <c r="H333" s="2" t="s">
        <v>1669</v>
      </c>
      <c r="I333" s="1" t="s">
        <v>14</v>
      </c>
      <c r="J333" s="1" t="s">
        <v>2202</v>
      </c>
      <c r="L333" s="53">
        <v>0.16639999999999999</v>
      </c>
      <c r="M333" s="39">
        <v>79.7</v>
      </c>
      <c r="N333" s="39"/>
      <c r="O333" s="39"/>
      <c r="P333" s="39"/>
      <c r="Q333" s="39"/>
      <c r="R333" s="39"/>
      <c r="S333" s="39"/>
      <c r="T333" s="39"/>
      <c r="U333" s="39"/>
      <c r="V333" s="39"/>
      <c r="W333" s="60"/>
    </row>
    <row r="334" spans="1:23" ht="63.75" x14ac:dyDescent="0.2">
      <c r="A334" s="1" t="s">
        <v>2203</v>
      </c>
      <c r="B334" s="2" t="s">
        <v>196</v>
      </c>
      <c r="C334" s="2" t="s">
        <v>2204</v>
      </c>
      <c r="D334" s="2" t="s">
        <v>71</v>
      </c>
      <c r="E334" s="2">
        <v>2021</v>
      </c>
      <c r="F334" s="2" t="s">
        <v>311</v>
      </c>
      <c r="G334" s="2" t="s">
        <v>1669</v>
      </c>
      <c r="H334" s="2" t="s">
        <v>1668</v>
      </c>
      <c r="I334" s="1" t="s">
        <v>2205</v>
      </c>
      <c r="J334" s="1" t="s">
        <v>14</v>
      </c>
      <c r="L334" s="53"/>
      <c r="M334" s="39"/>
      <c r="N334" s="39"/>
      <c r="O334" s="39"/>
      <c r="P334" s="39"/>
      <c r="Q334" s="39"/>
      <c r="R334" s="39"/>
      <c r="S334" s="39"/>
      <c r="T334" s="39"/>
      <c r="U334" s="39"/>
      <c r="V334" s="39"/>
      <c r="W334" s="60" t="s">
        <v>1693</v>
      </c>
    </row>
    <row r="335" spans="1:23" ht="25.5" x14ac:dyDescent="0.2">
      <c r="A335" s="1" t="s">
        <v>447</v>
      </c>
      <c r="B335" s="2" t="s">
        <v>10</v>
      </c>
      <c r="C335" s="2" t="s">
        <v>448</v>
      </c>
      <c r="D335" s="2" t="s">
        <v>12</v>
      </c>
      <c r="E335" s="2">
        <v>2021</v>
      </c>
      <c r="F335" s="2" t="s">
        <v>1776</v>
      </c>
      <c r="G335" s="2" t="s">
        <v>1667</v>
      </c>
      <c r="H335" s="2" t="s">
        <v>1669</v>
      </c>
      <c r="I335" s="1" t="s">
        <v>14</v>
      </c>
      <c r="J335" s="1" t="s">
        <v>2206</v>
      </c>
      <c r="L335" s="53"/>
      <c r="M335" s="39"/>
      <c r="N335" s="39"/>
      <c r="O335" s="39"/>
      <c r="P335" s="39"/>
      <c r="Q335" s="39"/>
      <c r="R335" s="39"/>
      <c r="S335" s="39"/>
      <c r="T335" s="39"/>
      <c r="U335" s="39"/>
      <c r="V335" s="39"/>
      <c r="W335" s="60" t="s">
        <v>1735</v>
      </c>
    </row>
    <row r="336" spans="1:23" ht="25.5" x14ac:dyDescent="0.2">
      <c r="A336" s="1" t="s">
        <v>447</v>
      </c>
      <c r="B336" s="2" t="s">
        <v>10</v>
      </c>
      <c r="C336" s="2" t="s">
        <v>448</v>
      </c>
      <c r="D336" s="2" t="s">
        <v>12</v>
      </c>
      <c r="E336" s="2">
        <v>2021</v>
      </c>
      <c r="F336" s="2" t="s">
        <v>1779</v>
      </c>
      <c r="G336" s="2" t="s">
        <v>1667</v>
      </c>
      <c r="H336" s="2" t="s">
        <v>1669</v>
      </c>
      <c r="I336" s="1" t="s">
        <v>14</v>
      </c>
      <c r="J336" s="1" t="s">
        <v>2207</v>
      </c>
      <c r="L336" s="53"/>
      <c r="M336" s="39"/>
      <c r="N336" s="39"/>
      <c r="O336" s="39"/>
      <c r="P336" s="39"/>
      <c r="Q336" s="39"/>
      <c r="R336" s="39"/>
      <c r="S336" s="39"/>
      <c r="T336" s="39"/>
      <c r="U336" s="39"/>
      <c r="V336" s="39"/>
      <c r="W336" s="60" t="s">
        <v>1735</v>
      </c>
    </row>
    <row r="337" spans="1:23" ht="25.5" x14ac:dyDescent="0.2">
      <c r="A337" s="1" t="s">
        <v>447</v>
      </c>
      <c r="B337" s="2" t="s">
        <v>10</v>
      </c>
      <c r="C337" s="2" t="s">
        <v>448</v>
      </c>
      <c r="D337" s="2" t="s">
        <v>12</v>
      </c>
      <c r="E337" s="2">
        <v>2021</v>
      </c>
      <c r="F337" s="2" t="s">
        <v>1781</v>
      </c>
      <c r="G337" s="2" t="s">
        <v>1667</v>
      </c>
      <c r="H337" s="2" t="s">
        <v>1669</v>
      </c>
      <c r="I337" s="1" t="s">
        <v>14</v>
      </c>
      <c r="J337" s="1" t="s">
        <v>2208</v>
      </c>
      <c r="L337" s="53"/>
      <c r="M337" s="39"/>
      <c r="N337" s="39"/>
      <c r="O337" s="39"/>
      <c r="P337" s="39"/>
      <c r="Q337" s="39"/>
      <c r="R337" s="39"/>
      <c r="S337" s="39"/>
      <c r="T337" s="39"/>
      <c r="U337" s="39"/>
      <c r="V337" s="39"/>
      <c r="W337" s="60" t="s">
        <v>1735</v>
      </c>
    </row>
    <row r="338" spans="1:23" ht="25.5" x14ac:dyDescent="0.2">
      <c r="A338" s="1" t="s">
        <v>447</v>
      </c>
      <c r="B338" s="2" t="s">
        <v>10</v>
      </c>
      <c r="C338" s="2" t="s">
        <v>448</v>
      </c>
      <c r="D338" s="2" t="s">
        <v>12</v>
      </c>
      <c r="E338" s="2">
        <v>2021</v>
      </c>
      <c r="F338" s="2" t="s">
        <v>1783</v>
      </c>
      <c r="G338" s="2" t="s">
        <v>1667</v>
      </c>
      <c r="H338" s="2" t="s">
        <v>1669</v>
      </c>
      <c r="I338" s="1" t="s">
        <v>14</v>
      </c>
      <c r="J338" s="1" t="s">
        <v>2209</v>
      </c>
      <c r="L338" s="53"/>
      <c r="M338" s="39"/>
      <c r="N338" s="39"/>
      <c r="O338" s="39"/>
      <c r="P338" s="39"/>
      <c r="Q338" s="39"/>
      <c r="R338" s="39"/>
      <c r="S338" s="39"/>
      <c r="T338" s="39"/>
      <c r="U338" s="39"/>
      <c r="V338" s="39"/>
      <c r="W338" s="60" t="s">
        <v>1735</v>
      </c>
    </row>
    <row r="339" spans="1:23" ht="25.5" x14ac:dyDescent="0.2">
      <c r="A339" s="1" t="s">
        <v>447</v>
      </c>
      <c r="B339" s="2" t="s">
        <v>10</v>
      </c>
      <c r="C339" s="2" t="s">
        <v>448</v>
      </c>
      <c r="D339" s="2" t="s">
        <v>12</v>
      </c>
      <c r="E339" s="2">
        <v>2021</v>
      </c>
      <c r="F339" s="2" t="s">
        <v>1785</v>
      </c>
      <c r="G339" s="2" t="s">
        <v>1667</v>
      </c>
      <c r="H339" s="2" t="s">
        <v>1669</v>
      </c>
      <c r="I339" s="1" t="s">
        <v>14</v>
      </c>
      <c r="J339" s="1" t="s">
        <v>2210</v>
      </c>
      <c r="L339" s="53"/>
      <c r="M339" s="39"/>
      <c r="N339" s="39"/>
      <c r="O339" s="39"/>
      <c r="P339" s="39"/>
      <c r="Q339" s="39"/>
      <c r="R339" s="39"/>
      <c r="S339" s="39"/>
      <c r="T339" s="39"/>
      <c r="U339" s="39"/>
      <c r="V339" s="39"/>
      <c r="W339" s="60" t="s">
        <v>1735</v>
      </c>
    </row>
    <row r="340" spans="1:23" ht="25.5" x14ac:dyDescent="0.2">
      <c r="A340" s="1" t="s">
        <v>447</v>
      </c>
      <c r="B340" s="2" t="s">
        <v>10</v>
      </c>
      <c r="C340" s="2" t="s">
        <v>448</v>
      </c>
      <c r="D340" s="2" t="s">
        <v>12</v>
      </c>
      <c r="E340" s="2">
        <v>2021</v>
      </c>
      <c r="F340" s="2" t="s">
        <v>1787</v>
      </c>
      <c r="G340" s="2" t="s">
        <v>1667</v>
      </c>
      <c r="H340" s="2" t="s">
        <v>1669</v>
      </c>
      <c r="I340" s="1" t="s">
        <v>14</v>
      </c>
      <c r="J340" s="1" t="s">
        <v>2211</v>
      </c>
      <c r="L340" s="53"/>
      <c r="M340" s="39"/>
      <c r="N340" s="39"/>
      <c r="O340" s="39"/>
      <c r="P340" s="39"/>
      <c r="Q340" s="39"/>
      <c r="R340" s="39"/>
      <c r="S340" s="39"/>
      <c r="T340" s="39"/>
      <c r="U340" s="39"/>
      <c r="V340" s="39"/>
      <c r="W340" s="60" t="s">
        <v>1735</v>
      </c>
    </row>
    <row r="341" spans="1:23" ht="25.5" x14ac:dyDescent="0.2">
      <c r="A341" s="1" t="s">
        <v>447</v>
      </c>
      <c r="B341" s="2" t="s">
        <v>10</v>
      </c>
      <c r="C341" s="2" t="s">
        <v>448</v>
      </c>
      <c r="D341" s="2" t="s">
        <v>12</v>
      </c>
      <c r="E341" s="2">
        <v>2021</v>
      </c>
      <c r="F341" s="2" t="s">
        <v>1789</v>
      </c>
      <c r="G341" s="2" t="s">
        <v>1667</v>
      </c>
      <c r="H341" s="2" t="s">
        <v>1669</v>
      </c>
      <c r="I341" s="1" t="s">
        <v>14</v>
      </c>
      <c r="J341" s="1" t="s">
        <v>2212</v>
      </c>
      <c r="L341" s="53"/>
      <c r="M341" s="39"/>
      <c r="N341" s="39"/>
      <c r="O341" s="39"/>
      <c r="P341" s="39"/>
      <c r="Q341" s="39"/>
      <c r="R341" s="39"/>
      <c r="S341" s="39"/>
      <c r="T341" s="39"/>
      <c r="U341" s="39"/>
      <c r="V341" s="39"/>
      <c r="W341" s="60" t="s">
        <v>1735</v>
      </c>
    </row>
    <row r="342" spans="1:23" ht="25.5" x14ac:dyDescent="0.2">
      <c r="A342" s="1" t="s">
        <v>447</v>
      </c>
      <c r="B342" s="2" t="s">
        <v>10</v>
      </c>
      <c r="C342" s="2" t="s">
        <v>448</v>
      </c>
      <c r="D342" s="2" t="s">
        <v>12</v>
      </c>
      <c r="E342" s="2">
        <v>2021</v>
      </c>
      <c r="F342" s="2" t="s">
        <v>1791</v>
      </c>
      <c r="G342" s="2" t="s">
        <v>1667</v>
      </c>
      <c r="H342" s="2" t="s">
        <v>1669</v>
      </c>
      <c r="I342" s="1" t="s">
        <v>14</v>
      </c>
      <c r="J342" s="1" t="s">
        <v>2213</v>
      </c>
      <c r="L342" s="53"/>
      <c r="M342" s="39"/>
      <c r="N342" s="39"/>
      <c r="O342" s="39"/>
      <c r="P342" s="39"/>
      <c r="Q342" s="39"/>
      <c r="R342" s="39"/>
      <c r="S342" s="39"/>
      <c r="T342" s="39"/>
      <c r="U342" s="39"/>
      <c r="V342" s="39"/>
      <c r="W342" s="60" t="s">
        <v>1735</v>
      </c>
    </row>
    <row r="343" spans="1:23" ht="25.5" x14ac:dyDescent="0.2">
      <c r="A343" s="1" t="s">
        <v>447</v>
      </c>
      <c r="B343" s="2" t="s">
        <v>10</v>
      </c>
      <c r="C343" s="2" t="s">
        <v>448</v>
      </c>
      <c r="D343" s="2" t="s">
        <v>12</v>
      </c>
      <c r="E343" s="2">
        <v>2021</v>
      </c>
      <c r="F343" s="2" t="s">
        <v>311</v>
      </c>
      <c r="G343" s="2" t="s">
        <v>1667</v>
      </c>
      <c r="H343" s="2" t="s">
        <v>1669</v>
      </c>
      <c r="I343" s="1" t="s">
        <v>14</v>
      </c>
      <c r="J343" s="1" t="s">
        <v>2214</v>
      </c>
      <c r="L343" s="53"/>
      <c r="M343" s="39"/>
      <c r="N343" s="39"/>
      <c r="O343" s="39"/>
      <c r="P343" s="39"/>
      <c r="Q343" s="39"/>
      <c r="R343" s="39"/>
      <c r="S343" s="39"/>
      <c r="T343" s="39"/>
      <c r="U343" s="39"/>
      <c r="V343" s="39"/>
      <c r="W343" s="60" t="s">
        <v>1735</v>
      </c>
    </row>
    <row r="344" spans="1:23" ht="25.5" x14ac:dyDescent="0.2">
      <c r="A344" s="1" t="s">
        <v>447</v>
      </c>
      <c r="B344" s="2" t="s">
        <v>10</v>
      </c>
      <c r="C344" s="2" t="s">
        <v>448</v>
      </c>
      <c r="D344" s="2" t="s">
        <v>12</v>
      </c>
      <c r="E344" s="2">
        <v>2021</v>
      </c>
      <c r="F344" s="2" t="s">
        <v>1794</v>
      </c>
      <c r="G344" s="2" t="s">
        <v>1667</v>
      </c>
      <c r="H344" s="2" t="s">
        <v>1669</v>
      </c>
      <c r="I344" s="1" t="s">
        <v>14</v>
      </c>
      <c r="J344" s="1" t="s">
        <v>2215</v>
      </c>
      <c r="L344" s="53"/>
      <c r="M344" s="39"/>
      <c r="N344" s="39"/>
      <c r="O344" s="39"/>
      <c r="P344" s="39"/>
      <c r="Q344" s="39"/>
      <c r="R344" s="39"/>
      <c r="S344" s="39"/>
      <c r="T344" s="39"/>
      <c r="U344" s="39"/>
      <c r="V344" s="39"/>
      <c r="W344" s="60" t="s">
        <v>1735</v>
      </c>
    </row>
    <row r="345" spans="1:23" ht="25.5" x14ac:dyDescent="0.2">
      <c r="A345" s="1" t="s">
        <v>447</v>
      </c>
      <c r="B345" s="2" t="s">
        <v>10</v>
      </c>
      <c r="C345" s="2" t="s">
        <v>448</v>
      </c>
      <c r="D345" s="2" t="s">
        <v>12</v>
      </c>
      <c r="E345" s="2">
        <v>2021</v>
      </c>
      <c r="F345" s="2" t="s">
        <v>1796</v>
      </c>
      <c r="G345" s="2" t="s">
        <v>1667</v>
      </c>
      <c r="H345" s="2" t="s">
        <v>1669</v>
      </c>
      <c r="I345" s="1" t="s">
        <v>14</v>
      </c>
      <c r="J345" s="1" t="s">
        <v>2216</v>
      </c>
      <c r="L345" s="53"/>
      <c r="M345" s="39"/>
      <c r="N345" s="39"/>
      <c r="O345" s="39"/>
      <c r="P345" s="39"/>
      <c r="Q345" s="39"/>
      <c r="R345" s="39"/>
      <c r="S345" s="39"/>
      <c r="T345" s="39"/>
      <c r="U345" s="39"/>
      <c r="V345" s="39"/>
      <c r="W345" s="60" t="s">
        <v>1735</v>
      </c>
    </row>
    <row r="346" spans="1:23" ht="25.5" x14ac:dyDescent="0.2">
      <c r="A346" s="1" t="s">
        <v>447</v>
      </c>
      <c r="B346" s="2" t="s">
        <v>10</v>
      </c>
      <c r="C346" s="2" t="s">
        <v>448</v>
      </c>
      <c r="D346" s="2" t="s">
        <v>12</v>
      </c>
      <c r="E346" s="2">
        <v>2021</v>
      </c>
      <c r="F346" s="2" t="s">
        <v>1798</v>
      </c>
      <c r="G346" s="2" t="s">
        <v>1667</v>
      </c>
      <c r="H346" s="2" t="s">
        <v>1669</v>
      </c>
      <c r="I346" s="1" t="s">
        <v>14</v>
      </c>
      <c r="J346" s="1" t="s">
        <v>2217</v>
      </c>
      <c r="L346" s="53"/>
      <c r="M346" s="39"/>
      <c r="N346" s="39"/>
      <c r="O346" s="39"/>
      <c r="P346" s="39"/>
      <c r="Q346" s="39"/>
      <c r="R346" s="39"/>
      <c r="S346" s="39"/>
      <c r="T346" s="39"/>
      <c r="U346" s="39"/>
      <c r="V346" s="39"/>
      <c r="W346" s="60" t="s">
        <v>1735</v>
      </c>
    </row>
    <row r="347" spans="1:23" ht="76.5" x14ac:dyDescent="0.2">
      <c r="A347" s="1" t="s">
        <v>2218</v>
      </c>
      <c r="B347" s="2" t="s">
        <v>383</v>
      </c>
      <c r="C347" s="2" t="s">
        <v>61</v>
      </c>
      <c r="D347" s="2" t="s">
        <v>61</v>
      </c>
      <c r="E347" s="2">
        <v>2021</v>
      </c>
      <c r="F347" s="2" t="s">
        <v>1785</v>
      </c>
      <c r="G347" s="2" t="s">
        <v>1669</v>
      </c>
      <c r="H347" s="2" t="s">
        <v>1669</v>
      </c>
      <c r="I347" s="1" t="s">
        <v>2219</v>
      </c>
      <c r="J347" s="1" t="s">
        <v>2220</v>
      </c>
      <c r="L347" s="53">
        <v>0.22</v>
      </c>
      <c r="M347" s="39"/>
      <c r="N347" s="39"/>
      <c r="O347" s="39">
        <f>2100/L347</f>
        <v>9545.454545454546</v>
      </c>
      <c r="P347" s="39"/>
      <c r="Q347" s="39"/>
      <c r="R347" s="39"/>
      <c r="S347" s="39"/>
      <c r="T347" s="39"/>
      <c r="U347" s="39"/>
      <c r="V347" s="39"/>
      <c r="W347" s="60" t="s">
        <v>2143</v>
      </c>
    </row>
    <row r="348" spans="1:23" ht="25.5" x14ac:dyDescent="0.2">
      <c r="A348" s="1" t="s">
        <v>362</v>
      </c>
      <c r="B348" s="2" t="s">
        <v>277</v>
      </c>
      <c r="C348" s="2" t="s">
        <v>363</v>
      </c>
      <c r="D348" s="2" t="s">
        <v>333</v>
      </c>
      <c r="E348" s="2">
        <v>2021</v>
      </c>
      <c r="F348" s="2" t="s">
        <v>311</v>
      </c>
      <c r="G348" s="2" t="s">
        <v>1669</v>
      </c>
      <c r="H348" s="2" t="s">
        <v>1669</v>
      </c>
      <c r="I348" s="1" t="s">
        <v>2221</v>
      </c>
      <c r="J348" s="1" t="s">
        <v>2222</v>
      </c>
      <c r="L348" s="53"/>
      <c r="M348" s="39">
        <f>4400*0.004546</f>
        <v>20.002399999999998</v>
      </c>
      <c r="N348" s="39"/>
      <c r="O348" s="39"/>
      <c r="P348" s="39"/>
      <c r="Q348" s="39"/>
      <c r="R348" s="39"/>
      <c r="S348" s="39"/>
      <c r="T348" s="39"/>
      <c r="U348" s="39"/>
      <c r="V348" s="39"/>
      <c r="W348" s="60" t="s">
        <v>1701</v>
      </c>
    </row>
    <row r="349" spans="1:23" ht="63.75" x14ac:dyDescent="0.2">
      <c r="A349" s="1" t="s">
        <v>22</v>
      </c>
      <c r="B349" s="2" t="s">
        <v>16</v>
      </c>
      <c r="C349" s="2" t="s">
        <v>20</v>
      </c>
      <c r="D349" s="2" t="s">
        <v>21</v>
      </c>
      <c r="E349" s="2">
        <v>2021</v>
      </c>
      <c r="F349" s="2" t="s">
        <v>1776</v>
      </c>
      <c r="G349" s="2" t="s">
        <v>1667</v>
      </c>
      <c r="H349" s="2" t="s">
        <v>1669</v>
      </c>
      <c r="I349" s="1" t="s">
        <v>14</v>
      </c>
      <c r="J349" s="1" t="s">
        <v>2223</v>
      </c>
      <c r="L349" s="53">
        <v>0.28100000000000003</v>
      </c>
      <c r="M349" s="39"/>
      <c r="N349" s="39"/>
      <c r="O349" s="39"/>
      <c r="P349" s="39"/>
      <c r="Q349" s="39"/>
      <c r="R349" s="39"/>
      <c r="S349" s="39">
        <v>442.2</v>
      </c>
      <c r="T349" s="39"/>
      <c r="U349" s="39"/>
      <c r="V349" s="39"/>
      <c r="W349" s="60"/>
    </row>
    <row r="350" spans="1:23" ht="76.5" x14ac:dyDescent="0.2">
      <c r="A350" s="1" t="s">
        <v>22</v>
      </c>
      <c r="B350" s="2" t="s">
        <v>16</v>
      </c>
      <c r="C350" s="2" t="s">
        <v>20</v>
      </c>
      <c r="D350" s="2" t="s">
        <v>21</v>
      </c>
      <c r="E350" s="2">
        <v>2021</v>
      </c>
      <c r="F350" s="2" t="s">
        <v>1779</v>
      </c>
      <c r="G350" s="2" t="s">
        <v>1667</v>
      </c>
      <c r="H350" s="2" t="s">
        <v>1669</v>
      </c>
      <c r="I350" s="1" t="s">
        <v>14</v>
      </c>
      <c r="J350" s="1" t="s">
        <v>2224</v>
      </c>
      <c r="L350" s="53">
        <v>0.27700000000000002</v>
      </c>
      <c r="M350" s="39"/>
      <c r="N350" s="39"/>
      <c r="O350" s="39"/>
      <c r="P350" s="39"/>
      <c r="Q350" s="39"/>
      <c r="R350" s="39"/>
      <c r="S350" s="39">
        <v>443.4</v>
      </c>
      <c r="T350" s="39"/>
      <c r="U350" s="39"/>
      <c r="V350" s="39"/>
      <c r="W350" s="60"/>
    </row>
    <row r="351" spans="1:23" ht="63.75" x14ac:dyDescent="0.2">
      <c r="A351" s="1" t="s">
        <v>22</v>
      </c>
      <c r="B351" s="2" t="s">
        <v>16</v>
      </c>
      <c r="C351" s="2" t="s">
        <v>20</v>
      </c>
      <c r="D351" s="2" t="s">
        <v>21</v>
      </c>
      <c r="E351" s="2">
        <v>2021</v>
      </c>
      <c r="F351" s="2" t="s">
        <v>1781</v>
      </c>
      <c r="G351" s="2" t="s">
        <v>1667</v>
      </c>
      <c r="H351" s="2" t="s">
        <v>1669</v>
      </c>
      <c r="I351" s="1" t="s">
        <v>14</v>
      </c>
      <c r="J351" s="1" t="s">
        <v>2225</v>
      </c>
      <c r="L351" s="53">
        <v>0.30399999999999999</v>
      </c>
      <c r="M351" s="39"/>
      <c r="N351" s="39"/>
      <c r="O351" s="39"/>
      <c r="P351" s="39"/>
      <c r="Q351" s="39"/>
      <c r="R351" s="39"/>
      <c r="S351" s="39">
        <v>548.70000000000005</v>
      </c>
      <c r="T351" s="39"/>
      <c r="U351" s="39"/>
      <c r="V351" s="39"/>
      <c r="W351" s="60"/>
    </row>
    <row r="352" spans="1:23" ht="63.75" x14ac:dyDescent="0.2">
      <c r="A352" s="1" t="s">
        <v>22</v>
      </c>
      <c r="B352" s="2" t="s">
        <v>16</v>
      </c>
      <c r="C352" s="2" t="s">
        <v>20</v>
      </c>
      <c r="D352" s="2" t="s">
        <v>21</v>
      </c>
      <c r="E352" s="2">
        <v>2021</v>
      </c>
      <c r="F352" s="2" t="s">
        <v>1783</v>
      </c>
      <c r="G352" s="2" t="s">
        <v>1667</v>
      </c>
      <c r="H352" s="2" t="s">
        <v>1669</v>
      </c>
      <c r="I352" s="1" t="s">
        <v>14</v>
      </c>
      <c r="J352" s="1" t="s">
        <v>2226</v>
      </c>
      <c r="L352" s="53">
        <v>0.33500000000000002</v>
      </c>
      <c r="M352" s="39"/>
      <c r="N352" s="39"/>
      <c r="O352" s="39"/>
      <c r="P352" s="39"/>
      <c r="Q352" s="39"/>
      <c r="R352" s="39"/>
      <c r="S352" s="39">
        <v>453</v>
      </c>
      <c r="T352" s="39"/>
      <c r="U352" s="39"/>
      <c r="V352" s="39"/>
      <c r="W352" s="60"/>
    </row>
    <row r="353" spans="1:23" ht="63.75" x14ac:dyDescent="0.2">
      <c r="A353" s="1" t="s">
        <v>22</v>
      </c>
      <c r="B353" s="2" t="s">
        <v>16</v>
      </c>
      <c r="C353" s="2" t="s">
        <v>20</v>
      </c>
      <c r="D353" s="2" t="s">
        <v>21</v>
      </c>
      <c r="E353" s="2">
        <v>2021</v>
      </c>
      <c r="F353" s="2" t="s">
        <v>1785</v>
      </c>
      <c r="G353" s="2" t="s">
        <v>1667</v>
      </c>
      <c r="H353" s="2" t="s">
        <v>1669</v>
      </c>
      <c r="I353" s="1" t="s">
        <v>14</v>
      </c>
      <c r="J353" s="1" t="s">
        <v>2227</v>
      </c>
      <c r="L353" s="53">
        <v>0.35299999999999998</v>
      </c>
      <c r="M353" s="39"/>
      <c r="N353" s="39"/>
      <c r="O353" s="39"/>
      <c r="P353" s="39"/>
      <c r="Q353" s="39"/>
      <c r="R353" s="39"/>
      <c r="S353" s="39">
        <v>456.9</v>
      </c>
      <c r="T353" s="39"/>
      <c r="U353" s="39"/>
      <c r="V353" s="39"/>
      <c r="W353" s="60"/>
    </row>
    <row r="354" spans="1:23" ht="63.75" x14ac:dyDescent="0.2">
      <c r="A354" s="1" t="s">
        <v>22</v>
      </c>
      <c r="B354" s="2" t="s">
        <v>16</v>
      </c>
      <c r="C354" s="2" t="s">
        <v>20</v>
      </c>
      <c r="D354" s="2" t="s">
        <v>21</v>
      </c>
      <c r="E354" s="2">
        <v>2021</v>
      </c>
      <c r="F354" s="2" t="s">
        <v>1787</v>
      </c>
      <c r="G354" s="2" t="s">
        <v>1667</v>
      </c>
      <c r="H354" s="2" t="s">
        <v>1669</v>
      </c>
      <c r="I354" s="1" t="s">
        <v>14</v>
      </c>
      <c r="J354" s="1" t="s">
        <v>2228</v>
      </c>
      <c r="L354" s="53">
        <v>0.34</v>
      </c>
      <c r="M354" s="39"/>
      <c r="N354" s="39"/>
      <c r="O354" s="39"/>
      <c r="P354" s="39"/>
      <c r="Q354" s="39"/>
      <c r="R354" s="39"/>
      <c r="S354" s="39">
        <v>515.9</v>
      </c>
      <c r="T354" s="39"/>
      <c r="U354" s="39"/>
      <c r="V354" s="39"/>
      <c r="W354" s="60"/>
    </row>
    <row r="355" spans="1:23" ht="63.75" x14ac:dyDescent="0.2">
      <c r="A355" s="1" t="s">
        <v>22</v>
      </c>
      <c r="B355" s="2" t="s">
        <v>16</v>
      </c>
      <c r="C355" s="2" t="s">
        <v>20</v>
      </c>
      <c r="D355" s="2" t="s">
        <v>21</v>
      </c>
      <c r="E355" s="2">
        <v>2021</v>
      </c>
      <c r="F355" s="2" t="s">
        <v>1789</v>
      </c>
      <c r="G355" s="2" t="s">
        <v>1667</v>
      </c>
      <c r="H355" s="2" t="s">
        <v>1669</v>
      </c>
      <c r="I355" s="1" t="s">
        <v>14</v>
      </c>
      <c r="J355" s="1" t="s">
        <v>2229</v>
      </c>
      <c r="L355" s="53">
        <v>0.34</v>
      </c>
      <c r="M355" s="39"/>
      <c r="N355" s="39"/>
      <c r="O355" s="39"/>
      <c r="P355" s="39"/>
      <c r="Q355" s="39"/>
      <c r="R355" s="39"/>
      <c r="S355" s="39">
        <v>514.6</v>
      </c>
      <c r="T355" s="39"/>
      <c r="U355" s="39"/>
      <c r="V355" s="39"/>
      <c r="W355" s="60"/>
    </row>
    <row r="356" spans="1:23" ht="76.5" x14ac:dyDescent="0.2">
      <c r="A356" s="1" t="s">
        <v>22</v>
      </c>
      <c r="B356" s="2" t="s">
        <v>16</v>
      </c>
      <c r="C356" s="2" t="s">
        <v>20</v>
      </c>
      <c r="D356" s="2" t="s">
        <v>21</v>
      </c>
      <c r="E356" s="2">
        <v>2021</v>
      </c>
      <c r="F356" s="2" t="s">
        <v>1791</v>
      </c>
      <c r="G356" s="2" t="s">
        <v>1667</v>
      </c>
      <c r="H356" s="2" t="s">
        <v>1669</v>
      </c>
      <c r="I356" s="1" t="s">
        <v>14</v>
      </c>
      <c r="J356" s="1" t="s">
        <v>2230</v>
      </c>
      <c r="L356" s="53">
        <v>0.309</v>
      </c>
      <c r="M356" s="39"/>
      <c r="N356" s="39"/>
      <c r="O356" s="39"/>
      <c r="P356" s="39"/>
      <c r="Q356" s="39"/>
      <c r="R356" s="39"/>
      <c r="S356" s="39">
        <v>436.4</v>
      </c>
      <c r="T356" s="39"/>
      <c r="U356" s="39"/>
      <c r="V356" s="39"/>
      <c r="W356" s="60"/>
    </row>
    <row r="357" spans="1:23" ht="63.75" x14ac:dyDescent="0.2">
      <c r="A357" s="1" t="s">
        <v>22</v>
      </c>
      <c r="B357" s="2" t="s">
        <v>16</v>
      </c>
      <c r="C357" s="2" t="s">
        <v>20</v>
      </c>
      <c r="D357" s="2" t="s">
        <v>21</v>
      </c>
      <c r="E357" s="2">
        <v>2021</v>
      </c>
      <c r="F357" s="2" t="s">
        <v>311</v>
      </c>
      <c r="G357" s="2" t="s">
        <v>1667</v>
      </c>
      <c r="H357" s="2" t="s">
        <v>1669</v>
      </c>
      <c r="I357" s="1" t="s">
        <v>14</v>
      </c>
      <c r="J357" s="1" t="s">
        <v>2231</v>
      </c>
      <c r="L357" s="53">
        <v>0.32100000000000001</v>
      </c>
      <c r="M357" s="39"/>
      <c r="N357" s="39"/>
      <c r="O357" s="39"/>
      <c r="P357" s="39"/>
      <c r="Q357" s="39"/>
      <c r="R357" s="39"/>
      <c r="S357" s="39">
        <v>513.5</v>
      </c>
      <c r="T357" s="39"/>
      <c r="U357" s="39"/>
      <c r="V357" s="39"/>
      <c r="W357" s="60"/>
    </row>
    <row r="358" spans="1:23" ht="63.75" x14ac:dyDescent="0.2">
      <c r="A358" s="1" t="s">
        <v>22</v>
      </c>
      <c r="B358" s="2" t="s">
        <v>16</v>
      </c>
      <c r="C358" s="2" t="s">
        <v>20</v>
      </c>
      <c r="D358" s="2" t="s">
        <v>21</v>
      </c>
      <c r="E358" s="2">
        <v>2021</v>
      </c>
      <c r="F358" s="2" t="s">
        <v>1794</v>
      </c>
      <c r="G358" s="2" t="s">
        <v>1667</v>
      </c>
      <c r="H358" s="2" t="s">
        <v>1669</v>
      </c>
      <c r="I358" s="1" t="s">
        <v>14</v>
      </c>
      <c r="J358" s="1" t="s">
        <v>2232</v>
      </c>
      <c r="L358" s="53">
        <v>0.30499999999999999</v>
      </c>
      <c r="M358" s="39"/>
      <c r="N358" s="39"/>
      <c r="O358" s="39"/>
      <c r="P358" s="39"/>
      <c r="Q358" s="39"/>
      <c r="R358" s="39"/>
      <c r="S358" s="39">
        <v>461.7</v>
      </c>
      <c r="T358" s="39"/>
      <c r="U358" s="39"/>
      <c r="V358" s="39"/>
      <c r="W358" s="60"/>
    </row>
    <row r="359" spans="1:23" ht="63.75" x14ac:dyDescent="0.2">
      <c r="A359" s="1" t="s">
        <v>22</v>
      </c>
      <c r="B359" s="2" t="s">
        <v>16</v>
      </c>
      <c r="C359" s="2" t="s">
        <v>20</v>
      </c>
      <c r="D359" s="2" t="s">
        <v>21</v>
      </c>
      <c r="E359" s="2">
        <v>2021</v>
      </c>
      <c r="F359" s="2" t="s">
        <v>1796</v>
      </c>
      <c r="G359" s="2" t="s">
        <v>1667</v>
      </c>
      <c r="H359" s="2" t="s">
        <v>1669</v>
      </c>
      <c r="I359" s="1" t="s">
        <v>14</v>
      </c>
      <c r="J359" s="1" t="s">
        <v>2233</v>
      </c>
      <c r="L359" s="53">
        <v>0.29499999999999998</v>
      </c>
      <c r="M359" s="39"/>
      <c r="N359" s="39"/>
      <c r="O359" s="39"/>
      <c r="P359" s="39"/>
      <c r="Q359" s="39"/>
      <c r="R359" s="39"/>
      <c r="S359" s="39">
        <v>510.7</v>
      </c>
      <c r="T359" s="39"/>
      <c r="U359" s="39"/>
      <c r="V359" s="39"/>
      <c r="W359" s="60"/>
    </row>
    <row r="360" spans="1:23" ht="63.75" x14ac:dyDescent="0.2">
      <c r="A360" s="1" t="s">
        <v>22</v>
      </c>
      <c r="B360" s="2" t="s">
        <v>16</v>
      </c>
      <c r="C360" s="2" t="s">
        <v>20</v>
      </c>
      <c r="D360" s="2" t="s">
        <v>21</v>
      </c>
      <c r="E360" s="2">
        <v>2021</v>
      </c>
      <c r="F360" s="2" t="s">
        <v>1798</v>
      </c>
      <c r="G360" s="2" t="s">
        <v>1667</v>
      </c>
      <c r="H360" s="2" t="s">
        <v>1669</v>
      </c>
      <c r="I360" s="1" t="s">
        <v>14</v>
      </c>
      <c r="J360" s="1" t="s">
        <v>2234</v>
      </c>
      <c r="L360" s="53">
        <v>0.28899999999999998</v>
      </c>
      <c r="M360" s="39"/>
      <c r="N360" s="39"/>
      <c r="O360" s="39"/>
      <c r="P360" s="39"/>
      <c r="Q360" s="39"/>
      <c r="R360" s="39"/>
      <c r="S360" s="39">
        <v>495.57</v>
      </c>
      <c r="T360" s="39"/>
      <c r="U360" s="39"/>
      <c r="V360" s="39"/>
      <c r="W360" s="60"/>
    </row>
    <row r="361" spans="1:23" ht="63.75" x14ac:dyDescent="0.2">
      <c r="A361" s="1" t="s">
        <v>19</v>
      </c>
      <c r="B361" s="2" t="s">
        <v>16</v>
      </c>
      <c r="C361" s="2" t="s">
        <v>20</v>
      </c>
      <c r="D361" s="2" t="s">
        <v>21</v>
      </c>
      <c r="E361" s="2">
        <v>2021</v>
      </c>
      <c r="F361" s="2" t="s">
        <v>1776</v>
      </c>
      <c r="G361" s="2" t="s">
        <v>1667</v>
      </c>
      <c r="H361" s="2" t="s">
        <v>1669</v>
      </c>
      <c r="I361" s="1" t="s">
        <v>14</v>
      </c>
      <c r="J361" s="1" t="s">
        <v>2235</v>
      </c>
      <c r="L361" s="53">
        <v>0.29499999999999998</v>
      </c>
      <c r="M361" s="39"/>
      <c r="N361" s="39"/>
      <c r="O361" s="39"/>
      <c r="P361" s="39"/>
      <c r="Q361" s="39"/>
      <c r="R361" s="39"/>
      <c r="S361" s="39">
        <v>528.9</v>
      </c>
      <c r="T361" s="39"/>
      <c r="U361" s="39"/>
      <c r="V361" s="39"/>
      <c r="W361" s="60"/>
    </row>
    <row r="362" spans="1:23" ht="76.5" x14ac:dyDescent="0.2">
      <c r="A362" s="1" t="s">
        <v>19</v>
      </c>
      <c r="B362" s="2" t="s">
        <v>16</v>
      </c>
      <c r="C362" s="2" t="s">
        <v>20</v>
      </c>
      <c r="D362" s="2" t="s">
        <v>21</v>
      </c>
      <c r="E362" s="2">
        <v>2021</v>
      </c>
      <c r="F362" s="2" t="s">
        <v>1779</v>
      </c>
      <c r="G362" s="2" t="s">
        <v>1667</v>
      </c>
      <c r="H362" s="2" t="s">
        <v>1669</v>
      </c>
      <c r="I362" s="1" t="s">
        <v>14</v>
      </c>
      <c r="J362" s="1" t="s">
        <v>2236</v>
      </c>
      <c r="L362" s="53">
        <v>0.27300000000000002</v>
      </c>
      <c r="M362" s="39"/>
      <c r="N362" s="39"/>
      <c r="O362" s="39"/>
      <c r="P362" s="39"/>
      <c r="Q362" s="39"/>
      <c r="R362" s="39"/>
      <c r="S362" s="39">
        <v>2017.04</v>
      </c>
      <c r="T362" s="39"/>
      <c r="U362" s="39"/>
      <c r="V362" s="39"/>
      <c r="W362" s="60"/>
    </row>
    <row r="363" spans="1:23" ht="63.75" x14ac:dyDescent="0.2">
      <c r="A363" s="1" t="s">
        <v>19</v>
      </c>
      <c r="B363" s="2" t="s">
        <v>16</v>
      </c>
      <c r="C363" s="2" t="s">
        <v>20</v>
      </c>
      <c r="D363" s="2" t="s">
        <v>21</v>
      </c>
      <c r="E363" s="2">
        <v>2021</v>
      </c>
      <c r="F363" s="2" t="s">
        <v>1781</v>
      </c>
      <c r="G363" s="2" t="s">
        <v>1667</v>
      </c>
      <c r="H363" s="2" t="s">
        <v>1669</v>
      </c>
      <c r="I363" s="1" t="s">
        <v>14</v>
      </c>
      <c r="J363" s="1" t="s">
        <v>2237</v>
      </c>
      <c r="L363" s="53">
        <v>0.29299999999999998</v>
      </c>
      <c r="M363" s="39"/>
      <c r="N363" s="39"/>
      <c r="O363" s="39"/>
      <c r="P363" s="39"/>
      <c r="Q363" s="39"/>
      <c r="R363" s="39"/>
      <c r="S363" s="39">
        <v>1084.9000000000001</v>
      </c>
      <c r="T363" s="39"/>
      <c r="U363" s="39"/>
      <c r="V363" s="39"/>
      <c r="W363" s="60"/>
    </row>
    <row r="364" spans="1:23" ht="63.75" x14ac:dyDescent="0.2">
      <c r="A364" s="1" t="s">
        <v>19</v>
      </c>
      <c r="B364" s="2" t="s">
        <v>16</v>
      </c>
      <c r="C364" s="2" t="s">
        <v>20</v>
      </c>
      <c r="D364" s="2" t="s">
        <v>21</v>
      </c>
      <c r="E364" s="2">
        <v>2021</v>
      </c>
      <c r="F364" s="2" t="s">
        <v>1783</v>
      </c>
      <c r="G364" s="2" t="s">
        <v>1667</v>
      </c>
      <c r="H364" s="2" t="s">
        <v>1669</v>
      </c>
      <c r="I364" s="1" t="s">
        <v>14</v>
      </c>
      <c r="J364" s="1" t="s">
        <v>2238</v>
      </c>
      <c r="L364" s="53">
        <v>0.29699999999999999</v>
      </c>
      <c r="M364" s="39"/>
      <c r="N364" s="39"/>
      <c r="O364" s="39"/>
      <c r="P364" s="39"/>
      <c r="Q364" s="39"/>
      <c r="R364" s="39"/>
      <c r="S364" s="39">
        <v>507.4</v>
      </c>
      <c r="T364" s="39"/>
      <c r="U364" s="39"/>
      <c r="V364" s="39"/>
      <c r="W364" s="60"/>
    </row>
    <row r="365" spans="1:23" ht="63.75" x14ac:dyDescent="0.2">
      <c r="A365" s="1" t="s">
        <v>19</v>
      </c>
      <c r="B365" s="2" t="s">
        <v>16</v>
      </c>
      <c r="C365" s="2" t="s">
        <v>20</v>
      </c>
      <c r="D365" s="2" t="s">
        <v>21</v>
      </c>
      <c r="E365" s="2">
        <v>2021</v>
      </c>
      <c r="F365" s="2" t="s">
        <v>1785</v>
      </c>
      <c r="G365" s="2" t="s">
        <v>1667</v>
      </c>
      <c r="H365" s="2" t="s">
        <v>1669</v>
      </c>
      <c r="I365" s="1" t="s">
        <v>14</v>
      </c>
      <c r="J365" s="1" t="s">
        <v>2239</v>
      </c>
      <c r="L365" s="53">
        <v>0.29699999999999999</v>
      </c>
      <c r="M365" s="39"/>
      <c r="N365" s="39"/>
      <c r="O365" s="39"/>
      <c r="P365" s="39"/>
      <c r="Q365" s="39"/>
      <c r="R365" s="39"/>
      <c r="S365" s="39">
        <v>1514.7</v>
      </c>
      <c r="T365" s="39"/>
      <c r="U365" s="39"/>
      <c r="V365" s="39"/>
      <c r="W365" s="60"/>
    </row>
    <row r="366" spans="1:23" ht="63.75" x14ac:dyDescent="0.2">
      <c r="A366" s="1" t="s">
        <v>19</v>
      </c>
      <c r="B366" s="2" t="s">
        <v>16</v>
      </c>
      <c r="C366" s="2" t="s">
        <v>20</v>
      </c>
      <c r="D366" s="2" t="s">
        <v>21</v>
      </c>
      <c r="E366" s="2">
        <v>2021</v>
      </c>
      <c r="F366" s="2" t="s">
        <v>1787</v>
      </c>
      <c r="G366" s="2" t="s">
        <v>1667</v>
      </c>
      <c r="H366" s="2" t="s">
        <v>1669</v>
      </c>
      <c r="I366" s="1" t="s">
        <v>14</v>
      </c>
      <c r="J366" s="1" t="s">
        <v>2240</v>
      </c>
      <c r="L366" s="53">
        <v>0.27800000000000002</v>
      </c>
      <c r="M366" s="39"/>
      <c r="N366" s="39"/>
      <c r="O366" s="39"/>
      <c r="P366" s="39"/>
      <c r="Q366" s="39"/>
      <c r="R366" s="39"/>
      <c r="S366" s="39">
        <v>2817.9</v>
      </c>
      <c r="T366" s="39"/>
      <c r="U366" s="39"/>
      <c r="V366" s="39"/>
      <c r="W366" s="60"/>
    </row>
    <row r="367" spans="1:23" ht="63.75" x14ac:dyDescent="0.2">
      <c r="A367" s="1" t="s">
        <v>19</v>
      </c>
      <c r="B367" s="2" t="s">
        <v>16</v>
      </c>
      <c r="C367" s="2" t="s">
        <v>20</v>
      </c>
      <c r="D367" s="2" t="s">
        <v>21</v>
      </c>
      <c r="E367" s="2">
        <v>2021</v>
      </c>
      <c r="F367" s="2" t="s">
        <v>1789</v>
      </c>
      <c r="G367" s="2" t="s">
        <v>1667</v>
      </c>
      <c r="H367" s="2" t="s">
        <v>1669</v>
      </c>
      <c r="I367" s="1" t="s">
        <v>14</v>
      </c>
      <c r="J367" s="1" t="s">
        <v>2241</v>
      </c>
      <c r="L367" s="53">
        <v>0.25700000000000001</v>
      </c>
      <c r="M367" s="39"/>
      <c r="N367" s="39"/>
      <c r="O367" s="39"/>
      <c r="P367" s="39"/>
      <c r="Q367" s="39"/>
      <c r="R367" s="39"/>
      <c r="S367" s="39">
        <v>2896.9</v>
      </c>
      <c r="T367" s="39"/>
      <c r="U367" s="39"/>
      <c r="V367" s="39"/>
      <c r="W367" s="60"/>
    </row>
    <row r="368" spans="1:23" ht="63.75" x14ac:dyDescent="0.2">
      <c r="A368" s="1" t="s">
        <v>19</v>
      </c>
      <c r="B368" s="2" t="s">
        <v>16</v>
      </c>
      <c r="C368" s="2" t="s">
        <v>20</v>
      </c>
      <c r="D368" s="2" t="s">
        <v>21</v>
      </c>
      <c r="E368" s="2">
        <v>2021</v>
      </c>
      <c r="F368" s="2" t="s">
        <v>1791</v>
      </c>
      <c r="G368" s="2" t="s">
        <v>1667</v>
      </c>
      <c r="H368" s="2" t="s">
        <v>1669</v>
      </c>
      <c r="I368" s="1" t="s">
        <v>14</v>
      </c>
      <c r="J368" s="1" t="s">
        <v>2242</v>
      </c>
      <c r="L368" s="53">
        <v>0.26700000000000002</v>
      </c>
      <c r="M368" s="39"/>
      <c r="N368" s="39"/>
      <c r="O368" s="39"/>
      <c r="P368" s="39"/>
      <c r="Q368" s="39"/>
      <c r="R368" s="39"/>
      <c r="S368" s="39">
        <v>1820.1</v>
      </c>
      <c r="T368" s="39"/>
      <c r="U368" s="39"/>
      <c r="V368" s="39"/>
      <c r="W368" s="60"/>
    </row>
    <row r="369" spans="1:23" ht="63.75" x14ac:dyDescent="0.2">
      <c r="A369" s="1" t="s">
        <v>19</v>
      </c>
      <c r="B369" s="2" t="s">
        <v>16</v>
      </c>
      <c r="C369" s="2" t="s">
        <v>20</v>
      </c>
      <c r="D369" s="2" t="s">
        <v>21</v>
      </c>
      <c r="E369" s="2">
        <v>2021</v>
      </c>
      <c r="F369" s="2" t="s">
        <v>311</v>
      </c>
      <c r="G369" s="2" t="s">
        <v>1667</v>
      </c>
      <c r="H369" s="2" t="s">
        <v>1669</v>
      </c>
      <c r="I369" s="1" t="s">
        <v>14</v>
      </c>
      <c r="J369" s="1" t="s">
        <v>2243</v>
      </c>
      <c r="L369" s="53">
        <v>0.27</v>
      </c>
      <c r="M369" s="39"/>
      <c r="N369" s="39"/>
      <c r="O369" s="39"/>
      <c r="P369" s="39"/>
      <c r="Q369" s="39"/>
      <c r="R369" s="39"/>
      <c r="S369" s="39">
        <v>1126.7</v>
      </c>
      <c r="T369" s="39"/>
      <c r="U369" s="39"/>
      <c r="V369" s="39"/>
      <c r="W369" s="60"/>
    </row>
    <row r="370" spans="1:23" ht="76.5" x14ac:dyDescent="0.2">
      <c r="A370" s="1" t="s">
        <v>19</v>
      </c>
      <c r="B370" s="2" t="s">
        <v>16</v>
      </c>
      <c r="C370" s="2" t="s">
        <v>20</v>
      </c>
      <c r="D370" s="2" t="s">
        <v>21</v>
      </c>
      <c r="E370" s="2">
        <v>2021</v>
      </c>
      <c r="F370" s="2" t="s">
        <v>1794</v>
      </c>
      <c r="G370" s="2" t="s">
        <v>1667</v>
      </c>
      <c r="H370" s="2" t="s">
        <v>1669</v>
      </c>
      <c r="I370" s="1" t="s">
        <v>14</v>
      </c>
      <c r="J370" s="1" t="s">
        <v>2244</v>
      </c>
      <c r="L370" s="53">
        <v>0.27300000000000002</v>
      </c>
      <c r="M370" s="39"/>
      <c r="N370" s="39"/>
      <c r="O370" s="39"/>
      <c r="P370" s="39"/>
      <c r="Q370" s="39"/>
      <c r="R370" s="39"/>
      <c r="S370" s="39">
        <v>2122.08</v>
      </c>
      <c r="T370" s="39"/>
      <c r="U370" s="39"/>
      <c r="V370" s="39"/>
      <c r="W370" s="60"/>
    </row>
    <row r="371" spans="1:23" ht="63.75" x14ac:dyDescent="0.2">
      <c r="A371" s="1" t="s">
        <v>19</v>
      </c>
      <c r="B371" s="2" t="s">
        <v>16</v>
      </c>
      <c r="C371" s="2" t="s">
        <v>20</v>
      </c>
      <c r="D371" s="2" t="s">
        <v>21</v>
      </c>
      <c r="E371" s="2">
        <v>2021</v>
      </c>
      <c r="F371" s="2" t="s">
        <v>1796</v>
      </c>
      <c r="G371" s="2" t="s">
        <v>1667</v>
      </c>
      <c r="H371" s="2" t="s">
        <v>1669</v>
      </c>
      <c r="I371" s="1" t="s">
        <v>14</v>
      </c>
      <c r="J371" s="1" t="s">
        <v>2245</v>
      </c>
      <c r="L371" s="53">
        <v>0.28100000000000003</v>
      </c>
      <c r="M371" s="39"/>
      <c r="N371" s="39"/>
      <c r="O371" s="39"/>
      <c r="P371" s="39"/>
      <c r="Q371" s="39"/>
      <c r="R371" s="39"/>
      <c r="S371" s="39">
        <v>603.9</v>
      </c>
      <c r="T371" s="39"/>
      <c r="U371" s="39"/>
      <c r="V371" s="39"/>
      <c r="W371" s="60"/>
    </row>
    <row r="372" spans="1:23" ht="63.75" x14ac:dyDescent="0.2">
      <c r="A372" s="1" t="s">
        <v>19</v>
      </c>
      <c r="B372" s="2" t="s">
        <v>16</v>
      </c>
      <c r="C372" s="2" t="s">
        <v>20</v>
      </c>
      <c r="D372" s="2" t="s">
        <v>21</v>
      </c>
      <c r="E372" s="2">
        <v>2021</v>
      </c>
      <c r="F372" s="2" t="s">
        <v>1798</v>
      </c>
      <c r="G372" s="2" t="s">
        <v>1667</v>
      </c>
      <c r="H372" s="2" t="s">
        <v>1669</v>
      </c>
      <c r="I372" s="1" t="s">
        <v>14</v>
      </c>
      <c r="J372" s="1" t="s">
        <v>2246</v>
      </c>
      <c r="L372" s="53">
        <v>0.27900000000000003</v>
      </c>
      <c r="M372" s="39"/>
      <c r="N372" s="39"/>
      <c r="O372" s="39"/>
      <c r="P372" s="39"/>
      <c r="Q372" s="39"/>
      <c r="R372" s="39"/>
      <c r="S372" s="39">
        <v>1809.71</v>
      </c>
      <c r="T372" s="39"/>
      <c r="U372" s="39"/>
      <c r="V372" s="39"/>
      <c r="W372" s="60"/>
    </row>
    <row r="373" spans="1:23" ht="38.25" x14ac:dyDescent="0.2">
      <c r="A373" s="1" t="s">
        <v>23</v>
      </c>
      <c r="B373" s="2" t="s">
        <v>24</v>
      </c>
      <c r="C373" s="2" t="s">
        <v>20</v>
      </c>
      <c r="D373" s="2" t="s">
        <v>21</v>
      </c>
      <c r="E373" s="2">
        <v>2021</v>
      </c>
      <c r="F373" s="2" t="s">
        <v>1776</v>
      </c>
      <c r="G373" s="2" t="s">
        <v>1667</v>
      </c>
      <c r="H373" s="2" t="s">
        <v>1669</v>
      </c>
      <c r="I373" s="1" t="s">
        <v>14</v>
      </c>
      <c r="J373" s="1" t="s">
        <v>2247</v>
      </c>
      <c r="L373" s="53">
        <v>0.29299999999999998</v>
      </c>
      <c r="M373" s="39"/>
      <c r="N373" s="39"/>
      <c r="O373" s="39"/>
      <c r="P373" s="39"/>
      <c r="Q373" s="39"/>
      <c r="R373" s="39"/>
      <c r="S373" s="39">
        <v>585.6</v>
      </c>
      <c r="T373" s="39"/>
      <c r="U373" s="39"/>
      <c r="V373" s="39"/>
      <c r="W373" s="60"/>
    </row>
    <row r="374" spans="1:23" ht="63.75" x14ac:dyDescent="0.2">
      <c r="A374" s="1" t="s">
        <v>23</v>
      </c>
      <c r="B374" s="2" t="s">
        <v>24</v>
      </c>
      <c r="C374" s="2" t="s">
        <v>20</v>
      </c>
      <c r="D374" s="2" t="s">
        <v>21</v>
      </c>
      <c r="E374" s="2">
        <v>2021</v>
      </c>
      <c r="F374" s="2" t="s">
        <v>1779</v>
      </c>
      <c r="G374" s="2" t="s">
        <v>1667</v>
      </c>
      <c r="H374" s="2" t="s">
        <v>1669</v>
      </c>
      <c r="I374" s="1" t="s">
        <v>14</v>
      </c>
      <c r="J374" s="1" t="s">
        <v>2248</v>
      </c>
      <c r="L374" s="53">
        <v>0.28000000000000003</v>
      </c>
      <c r="M374" s="39"/>
      <c r="N374" s="39"/>
      <c r="O374" s="39"/>
      <c r="P374" s="39"/>
      <c r="Q374" s="39"/>
      <c r="R374" s="39"/>
      <c r="S374" s="39">
        <v>624.1</v>
      </c>
      <c r="T374" s="39"/>
      <c r="U374" s="39"/>
      <c r="V374" s="39"/>
      <c r="W374" s="60"/>
    </row>
    <row r="375" spans="1:23" ht="51" x14ac:dyDescent="0.2">
      <c r="A375" s="1" t="s">
        <v>23</v>
      </c>
      <c r="B375" s="2" t="s">
        <v>24</v>
      </c>
      <c r="C375" s="2" t="s">
        <v>20</v>
      </c>
      <c r="D375" s="2" t="s">
        <v>21</v>
      </c>
      <c r="E375" s="2">
        <v>2021</v>
      </c>
      <c r="F375" s="2" t="s">
        <v>1781</v>
      </c>
      <c r="G375" s="2" t="s">
        <v>1667</v>
      </c>
      <c r="H375" s="2" t="s">
        <v>1669</v>
      </c>
      <c r="I375" s="1" t="s">
        <v>14</v>
      </c>
      <c r="J375" s="1" t="s">
        <v>2249</v>
      </c>
      <c r="L375" s="53">
        <v>0.30099999999999999</v>
      </c>
      <c r="M375" s="39"/>
      <c r="N375" s="39"/>
      <c r="O375" s="39"/>
      <c r="P375" s="39"/>
      <c r="Q375" s="39"/>
      <c r="R375" s="39"/>
      <c r="S375" s="39">
        <v>749.9</v>
      </c>
      <c r="T375" s="39"/>
      <c r="U375" s="39"/>
      <c r="V375" s="39"/>
      <c r="W375" s="60"/>
    </row>
    <row r="376" spans="1:23" ht="51" x14ac:dyDescent="0.2">
      <c r="A376" s="1" t="s">
        <v>23</v>
      </c>
      <c r="B376" s="2" t="s">
        <v>24</v>
      </c>
      <c r="C376" s="2" t="s">
        <v>20</v>
      </c>
      <c r="D376" s="2" t="s">
        <v>21</v>
      </c>
      <c r="E376" s="2">
        <v>2021</v>
      </c>
      <c r="F376" s="2" t="s">
        <v>1783</v>
      </c>
      <c r="G376" s="2" t="s">
        <v>1667</v>
      </c>
      <c r="H376" s="2" t="s">
        <v>1669</v>
      </c>
      <c r="I376" s="1" t="s">
        <v>14</v>
      </c>
      <c r="J376" s="1" t="s">
        <v>2250</v>
      </c>
      <c r="L376" s="53">
        <v>0.29299999999999998</v>
      </c>
      <c r="M376" s="39"/>
      <c r="N376" s="39"/>
      <c r="O376" s="39"/>
      <c r="P376" s="39"/>
      <c r="Q376" s="39"/>
      <c r="R376" s="39"/>
      <c r="S376" s="39">
        <v>760</v>
      </c>
      <c r="T376" s="39"/>
      <c r="U376" s="39"/>
      <c r="V376" s="39"/>
      <c r="W376" s="60"/>
    </row>
    <row r="377" spans="1:23" ht="51" x14ac:dyDescent="0.2">
      <c r="A377" s="1" t="s">
        <v>23</v>
      </c>
      <c r="B377" s="2" t="s">
        <v>24</v>
      </c>
      <c r="C377" s="2" t="s">
        <v>20</v>
      </c>
      <c r="D377" s="2" t="s">
        <v>21</v>
      </c>
      <c r="E377" s="2">
        <v>2021</v>
      </c>
      <c r="F377" s="2" t="s">
        <v>1785</v>
      </c>
      <c r="G377" s="2" t="s">
        <v>1667</v>
      </c>
      <c r="H377" s="2" t="s">
        <v>1669</v>
      </c>
      <c r="I377" s="1" t="s">
        <v>14</v>
      </c>
      <c r="J377" s="1" t="s">
        <v>2251</v>
      </c>
      <c r="L377" s="53">
        <v>0.28399999999999997</v>
      </c>
      <c r="M377" s="39"/>
      <c r="N377" s="39"/>
      <c r="O377" s="39"/>
      <c r="P377" s="39"/>
      <c r="Q377" s="39"/>
      <c r="R377" s="39"/>
      <c r="S377" s="39">
        <v>763.7</v>
      </c>
      <c r="T377" s="39"/>
      <c r="U377" s="39"/>
      <c r="V377" s="39"/>
      <c r="W377" s="60"/>
    </row>
    <row r="378" spans="1:23" ht="51" x14ac:dyDescent="0.2">
      <c r="A378" s="1" t="s">
        <v>23</v>
      </c>
      <c r="B378" s="2" t="s">
        <v>24</v>
      </c>
      <c r="C378" s="2" t="s">
        <v>20</v>
      </c>
      <c r="D378" s="2" t="s">
        <v>21</v>
      </c>
      <c r="E378" s="2">
        <v>2021</v>
      </c>
      <c r="F378" s="2" t="s">
        <v>1787</v>
      </c>
      <c r="G378" s="2" t="s">
        <v>1667</v>
      </c>
      <c r="H378" s="2" t="s">
        <v>1669</v>
      </c>
      <c r="I378" s="1" t="s">
        <v>14</v>
      </c>
      <c r="J378" s="1" t="s">
        <v>2252</v>
      </c>
      <c r="L378" s="53">
        <v>0.29799999999999999</v>
      </c>
      <c r="M378" s="39"/>
      <c r="N378" s="39"/>
      <c r="O378" s="39"/>
      <c r="P378" s="39"/>
      <c r="Q378" s="39"/>
      <c r="R378" s="39"/>
      <c r="S378" s="39">
        <v>764.2</v>
      </c>
      <c r="T378" s="39"/>
      <c r="U378" s="39"/>
      <c r="V378" s="39"/>
      <c r="W378" s="60"/>
    </row>
    <row r="379" spans="1:23" ht="51" x14ac:dyDescent="0.2">
      <c r="A379" s="1" t="s">
        <v>23</v>
      </c>
      <c r="B379" s="2" t="s">
        <v>24</v>
      </c>
      <c r="C379" s="2" t="s">
        <v>20</v>
      </c>
      <c r="D379" s="2" t="s">
        <v>21</v>
      </c>
      <c r="E379" s="2">
        <v>2021</v>
      </c>
      <c r="F379" s="2" t="s">
        <v>1789</v>
      </c>
      <c r="G379" s="2" t="s">
        <v>1667</v>
      </c>
      <c r="H379" s="2" t="s">
        <v>1669</v>
      </c>
      <c r="I379" s="1" t="s">
        <v>14</v>
      </c>
      <c r="J379" s="1" t="s">
        <v>2253</v>
      </c>
      <c r="L379" s="53">
        <v>0.307</v>
      </c>
      <c r="M379" s="39"/>
      <c r="N379" s="39"/>
      <c r="O379" s="39"/>
      <c r="P379" s="39"/>
      <c r="Q379" s="39"/>
      <c r="R379" s="39"/>
      <c r="S379" s="39">
        <v>663.6</v>
      </c>
      <c r="T379" s="39"/>
      <c r="U379" s="39"/>
      <c r="V379" s="39"/>
      <c r="W379" s="60"/>
    </row>
    <row r="380" spans="1:23" ht="51" x14ac:dyDescent="0.2">
      <c r="A380" s="1" t="s">
        <v>23</v>
      </c>
      <c r="B380" s="2" t="s">
        <v>24</v>
      </c>
      <c r="C380" s="2" t="s">
        <v>20</v>
      </c>
      <c r="D380" s="2" t="s">
        <v>21</v>
      </c>
      <c r="E380" s="2">
        <v>2021</v>
      </c>
      <c r="F380" s="2" t="s">
        <v>1791</v>
      </c>
      <c r="G380" s="2" t="s">
        <v>1667</v>
      </c>
      <c r="H380" s="2" t="s">
        <v>1669</v>
      </c>
      <c r="I380" s="1" t="s">
        <v>14</v>
      </c>
      <c r="J380" s="1" t="s">
        <v>2254</v>
      </c>
      <c r="L380" s="53">
        <v>0.28299999999999997</v>
      </c>
      <c r="M380" s="39"/>
      <c r="N380" s="39"/>
      <c r="O380" s="39"/>
      <c r="P380" s="39"/>
      <c r="Q380" s="39"/>
      <c r="R380" s="39"/>
      <c r="S380" s="39">
        <v>713</v>
      </c>
      <c r="T380" s="39"/>
      <c r="U380" s="39"/>
      <c r="V380" s="39"/>
      <c r="W380" s="60"/>
    </row>
    <row r="381" spans="1:23" ht="38.25" x14ac:dyDescent="0.2">
      <c r="A381" s="1" t="s">
        <v>23</v>
      </c>
      <c r="B381" s="2" t="s">
        <v>24</v>
      </c>
      <c r="C381" s="2" t="s">
        <v>20</v>
      </c>
      <c r="D381" s="2" t="s">
        <v>21</v>
      </c>
      <c r="E381" s="2">
        <v>2021</v>
      </c>
      <c r="F381" s="2" t="s">
        <v>311</v>
      </c>
      <c r="G381" s="2" t="s">
        <v>1667</v>
      </c>
      <c r="H381" s="2" t="s">
        <v>1669</v>
      </c>
      <c r="I381" s="1" t="s">
        <v>14</v>
      </c>
      <c r="J381" s="1" t="s">
        <v>2255</v>
      </c>
      <c r="L381" s="53">
        <v>0.28100000000000003</v>
      </c>
      <c r="M381" s="39"/>
      <c r="N381" s="39"/>
      <c r="O381" s="39"/>
      <c r="P381" s="39"/>
      <c r="Q381" s="39"/>
      <c r="R381" s="39"/>
      <c r="S381" s="39">
        <v>422.3</v>
      </c>
      <c r="T381" s="39"/>
      <c r="U381" s="39"/>
      <c r="V381" s="39"/>
      <c r="W381" s="60"/>
    </row>
    <row r="382" spans="1:23" ht="51" x14ac:dyDescent="0.2">
      <c r="A382" s="1" t="s">
        <v>23</v>
      </c>
      <c r="B382" s="2" t="s">
        <v>24</v>
      </c>
      <c r="C382" s="2" t="s">
        <v>20</v>
      </c>
      <c r="D382" s="2" t="s">
        <v>21</v>
      </c>
      <c r="E382" s="2">
        <v>2021</v>
      </c>
      <c r="F382" s="2" t="s">
        <v>1794</v>
      </c>
      <c r="G382" s="2" t="s">
        <v>1667</v>
      </c>
      <c r="H382" s="2" t="s">
        <v>1669</v>
      </c>
      <c r="I382" s="1" t="s">
        <v>14</v>
      </c>
      <c r="J382" s="1" t="s">
        <v>2256</v>
      </c>
      <c r="L382" s="53">
        <v>0.29399999999999998</v>
      </c>
      <c r="M382" s="39"/>
      <c r="N382" s="39"/>
      <c r="O382" s="39"/>
      <c r="P382" s="39"/>
      <c r="Q382" s="39"/>
      <c r="R382" s="39"/>
      <c r="S382" s="39">
        <v>655.4</v>
      </c>
      <c r="T382" s="39"/>
      <c r="U382" s="39"/>
      <c r="V382" s="39"/>
      <c r="W382" s="60"/>
    </row>
    <row r="383" spans="1:23" ht="38.25" x14ac:dyDescent="0.2">
      <c r="A383" s="1" t="s">
        <v>23</v>
      </c>
      <c r="B383" s="2" t="s">
        <v>24</v>
      </c>
      <c r="C383" s="2" t="s">
        <v>20</v>
      </c>
      <c r="D383" s="2" t="s">
        <v>21</v>
      </c>
      <c r="E383" s="2">
        <v>2021</v>
      </c>
      <c r="F383" s="2" t="s">
        <v>1796</v>
      </c>
      <c r="G383" s="2" t="s">
        <v>1667</v>
      </c>
      <c r="H383" s="2" t="s">
        <v>1669</v>
      </c>
      <c r="I383" s="1" t="s">
        <v>14</v>
      </c>
      <c r="J383" s="1" t="s">
        <v>2257</v>
      </c>
      <c r="L383" s="53">
        <v>0.27300000000000002</v>
      </c>
      <c r="M383" s="39"/>
      <c r="N383" s="39"/>
      <c r="O383" s="39"/>
      <c r="P383" s="39"/>
      <c r="Q383" s="39"/>
      <c r="R383" s="39"/>
      <c r="S383" s="39">
        <v>701.1</v>
      </c>
      <c r="T383" s="39"/>
      <c r="U383" s="39"/>
      <c r="V383" s="39"/>
      <c r="W383" s="60"/>
    </row>
    <row r="384" spans="1:23" ht="38.25" x14ac:dyDescent="0.2">
      <c r="A384" s="1" t="s">
        <v>23</v>
      </c>
      <c r="B384" s="2" t="s">
        <v>24</v>
      </c>
      <c r="C384" s="2" t="s">
        <v>20</v>
      </c>
      <c r="D384" s="2" t="s">
        <v>21</v>
      </c>
      <c r="E384" s="2">
        <v>2021</v>
      </c>
      <c r="F384" s="2" t="s">
        <v>1798</v>
      </c>
      <c r="G384" s="2" t="s">
        <v>1667</v>
      </c>
      <c r="H384" s="2" t="s">
        <v>1669</v>
      </c>
      <c r="I384" s="1" t="s">
        <v>14</v>
      </c>
      <c r="J384" s="1" t="s">
        <v>2258</v>
      </c>
      <c r="L384" s="53">
        <v>0.25900000000000001</v>
      </c>
      <c r="M384" s="39"/>
      <c r="N384" s="39"/>
      <c r="O384" s="39"/>
      <c r="P384" s="39"/>
      <c r="Q384" s="39"/>
      <c r="R384" s="39"/>
      <c r="S384" s="39">
        <v>819.22</v>
      </c>
      <c r="T384" s="39"/>
      <c r="U384" s="39"/>
      <c r="V384" s="39"/>
      <c r="W384" s="60"/>
    </row>
    <row r="385" spans="1:23" ht="38.25" x14ac:dyDescent="0.2">
      <c r="A385" s="1" t="s">
        <v>411</v>
      </c>
      <c r="B385" s="2" t="s">
        <v>196</v>
      </c>
      <c r="C385" s="2" t="s">
        <v>412</v>
      </c>
      <c r="D385" s="2" t="s">
        <v>61</v>
      </c>
      <c r="E385" s="2">
        <v>2021</v>
      </c>
      <c r="F385" s="2" t="s">
        <v>1794</v>
      </c>
      <c r="G385" s="2" t="s">
        <v>1669</v>
      </c>
      <c r="H385" s="2" t="s">
        <v>1668</v>
      </c>
      <c r="I385" s="1" t="s">
        <v>2259</v>
      </c>
      <c r="J385" s="1" t="s">
        <v>14</v>
      </c>
      <c r="L385" s="53"/>
      <c r="M385" s="39"/>
      <c r="N385" s="39"/>
      <c r="O385" s="39"/>
      <c r="P385" s="39"/>
      <c r="Q385" s="39"/>
      <c r="R385" s="39"/>
      <c r="S385" s="39"/>
      <c r="T385" s="39"/>
      <c r="U385" s="39"/>
      <c r="V385" s="39"/>
      <c r="W385" s="60" t="s">
        <v>1693</v>
      </c>
    </row>
    <row r="386" spans="1:23" ht="25.5" x14ac:dyDescent="0.2">
      <c r="A386" s="1" t="s">
        <v>168</v>
      </c>
      <c r="B386" s="2" t="s">
        <v>10</v>
      </c>
      <c r="C386" s="2" t="s">
        <v>169</v>
      </c>
      <c r="D386" s="2" t="s">
        <v>170</v>
      </c>
      <c r="E386" s="2">
        <v>2021</v>
      </c>
      <c r="F386" s="2" t="s">
        <v>1776</v>
      </c>
      <c r="G386" s="2" t="s">
        <v>1667</v>
      </c>
      <c r="H386" s="2" t="s">
        <v>1669</v>
      </c>
      <c r="I386" s="1" t="s">
        <v>14</v>
      </c>
      <c r="J386" s="1" t="s">
        <v>2260</v>
      </c>
      <c r="L386" s="53"/>
      <c r="M386" s="39"/>
      <c r="N386" s="39"/>
      <c r="O386" s="39"/>
      <c r="P386" s="39"/>
      <c r="Q386" s="39"/>
      <c r="R386" s="39"/>
      <c r="S386" s="39"/>
      <c r="T386" s="39"/>
      <c r="U386" s="39"/>
      <c r="V386" s="39"/>
      <c r="W386" s="60" t="s">
        <v>1735</v>
      </c>
    </row>
    <row r="387" spans="1:23" ht="25.5" x14ac:dyDescent="0.2">
      <c r="A387" s="1" t="s">
        <v>168</v>
      </c>
      <c r="B387" s="2" t="s">
        <v>10</v>
      </c>
      <c r="C387" s="2" t="s">
        <v>169</v>
      </c>
      <c r="D387" s="2" t="s">
        <v>170</v>
      </c>
      <c r="E387" s="2">
        <v>2021</v>
      </c>
      <c r="F387" s="2" t="s">
        <v>1779</v>
      </c>
      <c r="G387" s="2" t="s">
        <v>1667</v>
      </c>
      <c r="H387" s="2" t="s">
        <v>1669</v>
      </c>
      <c r="I387" s="1" t="s">
        <v>14</v>
      </c>
      <c r="J387" s="1" t="s">
        <v>2261</v>
      </c>
      <c r="L387" s="53"/>
      <c r="M387" s="39"/>
      <c r="N387" s="39"/>
      <c r="O387" s="39"/>
      <c r="P387" s="39"/>
      <c r="Q387" s="39"/>
      <c r="R387" s="39"/>
      <c r="S387" s="39"/>
      <c r="T387" s="39"/>
      <c r="U387" s="39"/>
      <c r="V387" s="39"/>
      <c r="W387" s="60" t="s">
        <v>1735</v>
      </c>
    </row>
    <row r="388" spans="1:23" ht="25.5" x14ac:dyDescent="0.2">
      <c r="A388" s="1" t="s">
        <v>168</v>
      </c>
      <c r="B388" s="2" t="s">
        <v>10</v>
      </c>
      <c r="C388" s="2" t="s">
        <v>169</v>
      </c>
      <c r="D388" s="2" t="s">
        <v>170</v>
      </c>
      <c r="E388" s="2">
        <v>2021</v>
      </c>
      <c r="F388" s="2" t="s">
        <v>1781</v>
      </c>
      <c r="G388" s="2" t="s">
        <v>1667</v>
      </c>
      <c r="H388" s="2" t="s">
        <v>1669</v>
      </c>
      <c r="I388" s="1" t="s">
        <v>14</v>
      </c>
      <c r="J388" s="1" t="s">
        <v>2262</v>
      </c>
      <c r="L388" s="53"/>
      <c r="M388" s="39"/>
      <c r="N388" s="39"/>
      <c r="O388" s="39"/>
      <c r="P388" s="39"/>
      <c r="Q388" s="39"/>
      <c r="R388" s="39"/>
      <c r="S388" s="39"/>
      <c r="T388" s="39"/>
      <c r="U388" s="39"/>
      <c r="V388" s="39"/>
      <c r="W388" s="60" t="s">
        <v>1735</v>
      </c>
    </row>
    <row r="389" spans="1:23" ht="25.5" x14ac:dyDescent="0.2">
      <c r="A389" s="1" t="s">
        <v>168</v>
      </c>
      <c r="B389" s="2" t="s">
        <v>10</v>
      </c>
      <c r="C389" s="2" t="s">
        <v>169</v>
      </c>
      <c r="D389" s="2" t="s">
        <v>170</v>
      </c>
      <c r="E389" s="2">
        <v>2021</v>
      </c>
      <c r="F389" s="2" t="s">
        <v>1783</v>
      </c>
      <c r="G389" s="2" t="s">
        <v>1667</v>
      </c>
      <c r="H389" s="2" t="s">
        <v>1669</v>
      </c>
      <c r="I389" s="1" t="s">
        <v>14</v>
      </c>
      <c r="J389" s="1" t="s">
        <v>2263</v>
      </c>
      <c r="L389" s="53"/>
      <c r="M389" s="39"/>
      <c r="N389" s="39"/>
      <c r="O389" s="39"/>
      <c r="P389" s="39"/>
      <c r="Q389" s="39"/>
      <c r="R389" s="39"/>
      <c r="S389" s="39"/>
      <c r="T389" s="39"/>
      <c r="U389" s="39"/>
      <c r="V389" s="39"/>
      <c r="W389" s="60" t="s">
        <v>1735</v>
      </c>
    </row>
    <row r="390" spans="1:23" ht="25.5" x14ac:dyDescent="0.2">
      <c r="A390" s="1" t="s">
        <v>168</v>
      </c>
      <c r="B390" s="2" t="s">
        <v>10</v>
      </c>
      <c r="C390" s="2" t="s">
        <v>169</v>
      </c>
      <c r="D390" s="2" t="s">
        <v>170</v>
      </c>
      <c r="E390" s="2">
        <v>2021</v>
      </c>
      <c r="F390" s="2" t="s">
        <v>1785</v>
      </c>
      <c r="G390" s="2" t="s">
        <v>1667</v>
      </c>
      <c r="H390" s="2" t="s">
        <v>1669</v>
      </c>
      <c r="I390" s="1" t="s">
        <v>14</v>
      </c>
      <c r="J390" s="1" t="s">
        <v>1431</v>
      </c>
      <c r="L390" s="53"/>
      <c r="M390" s="39"/>
      <c r="N390" s="39"/>
      <c r="O390" s="39"/>
      <c r="P390" s="39"/>
      <c r="Q390" s="39"/>
      <c r="R390" s="39"/>
      <c r="S390" s="39"/>
      <c r="T390" s="39"/>
      <c r="U390" s="39"/>
      <c r="V390" s="39"/>
      <c r="W390" s="60" t="s">
        <v>1735</v>
      </c>
    </row>
    <row r="391" spans="1:23" ht="25.5" x14ac:dyDescent="0.2">
      <c r="A391" s="1" t="s">
        <v>168</v>
      </c>
      <c r="B391" s="2" t="s">
        <v>10</v>
      </c>
      <c r="C391" s="2" t="s">
        <v>169</v>
      </c>
      <c r="D391" s="2" t="s">
        <v>170</v>
      </c>
      <c r="E391" s="2">
        <v>2021</v>
      </c>
      <c r="F391" s="2" t="s">
        <v>1787</v>
      </c>
      <c r="G391" s="2" t="s">
        <v>1667</v>
      </c>
      <c r="H391" s="2" t="s">
        <v>1669</v>
      </c>
      <c r="I391" s="1" t="s">
        <v>14</v>
      </c>
      <c r="J391" s="1" t="s">
        <v>2264</v>
      </c>
      <c r="L391" s="53"/>
      <c r="M391" s="39"/>
      <c r="N391" s="39"/>
      <c r="O391" s="39"/>
      <c r="P391" s="39"/>
      <c r="Q391" s="39"/>
      <c r="R391" s="39"/>
      <c r="S391" s="39"/>
      <c r="T391" s="39"/>
      <c r="U391" s="39"/>
      <c r="V391" s="39"/>
      <c r="W391" s="60" t="s">
        <v>1735</v>
      </c>
    </row>
    <row r="392" spans="1:23" ht="25.5" x14ac:dyDescent="0.2">
      <c r="A392" s="1" t="s">
        <v>168</v>
      </c>
      <c r="B392" s="2" t="s">
        <v>10</v>
      </c>
      <c r="C392" s="2" t="s">
        <v>169</v>
      </c>
      <c r="D392" s="2" t="s">
        <v>170</v>
      </c>
      <c r="E392" s="2">
        <v>2021</v>
      </c>
      <c r="F392" s="2" t="s">
        <v>1789</v>
      </c>
      <c r="G392" s="2" t="s">
        <v>1667</v>
      </c>
      <c r="H392" s="2" t="s">
        <v>1669</v>
      </c>
      <c r="I392" s="1" t="s">
        <v>14</v>
      </c>
      <c r="J392" s="1" t="s">
        <v>2265</v>
      </c>
      <c r="L392" s="53"/>
      <c r="M392" s="39"/>
      <c r="N392" s="39"/>
      <c r="O392" s="39"/>
      <c r="P392" s="39"/>
      <c r="Q392" s="39"/>
      <c r="R392" s="39"/>
      <c r="S392" s="39"/>
      <c r="T392" s="39"/>
      <c r="U392" s="39"/>
      <c r="V392" s="39"/>
      <c r="W392" s="60" t="s">
        <v>1735</v>
      </c>
    </row>
    <row r="393" spans="1:23" ht="25.5" x14ac:dyDescent="0.2">
      <c r="A393" s="1" t="s">
        <v>168</v>
      </c>
      <c r="B393" s="2" t="s">
        <v>10</v>
      </c>
      <c r="C393" s="2" t="s">
        <v>169</v>
      </c>
      <c r="D393" s="2" t="s">
        <v>170</v>
      </c>
      <c r="E393" s="2">
        <v>2021</v>
      </c>
      <c r="F393" s="2" t="s">
        <v>1791</v>
      </c>
      <c r="G393" s="2" t="s">
        <v>1667</v>
      </c>
      <c r="H393" s="2" t="s">
        <v>1669</v>
      </c>
      <c r="I393" s="1" t="s">
        <v>14</v>
      </c>
      <c r="J393" s="1" t="s">
        <v>2266</v>
      </c>
      <c r="L393" s="53"/>
      <c r="M393" s="39"/>
      <c r="N393" s="39"/>
      <c r="O393" s="39"/>
      <c r="P393" s="39"/>
      <c r="Q393" s="39"/>
      <c r="R393" s="39"/>
      <c r="S393" s="39"/>
      <c r="T393" s="39"/>
      <c r="U393" s="39"/>
      <c r="V393" s="39"/>
      <c r="W393" s="60" t="s">
        <v>1735</v>
      </c>
    </row>
    <row r="394" spans="1:23" ht="25.5" x14ac:dyDescent="0.2">
      <c r="A394" s="1" t="s">
        <v>168</v>
      </c>
      <c r="B394" s="2" t="s">
        <v>10</v>
      </c>
      <c r="C394" s="2" t="s">
        <v>169</v>
      </c>
      <c r="D394" s="2" t="s">
        <v>170</v>
      </c>
      <c r="E394" s="2">
        <v>2021</v>
      </c>
      <c r="F394" s="2" t="s">
        <v>311</v>
      </c>
      <c r="G394" s="2" t="s">
        <v>1667</v>
      </c>
      <c r="H394" s="2" t="s">
        <v>1669</v>
      </c>
      <c r="I394" s="1" t="s">
        <v>14</v>
      </c>
      <c r="J394" s="1" t="s">
        <v>2267</v>
      </c>
      <c r="L394" s="53"/>
      <c r="M394" s="39"/>
      <c r="N394" s="39"/>
      <c r="O394" s="39"/>
      <c r="P394" s="39"/>
      <c r="Q394" s="39"/>
      <c r="R394" s="39"/>
      <c r="S394" s="39"/>
      <c r="T394" s="39"/>
      <c r="U394" s="39"/>
      <c r="V394" s="39"/>
      <c r="W394" s="60" t="s">
        <v>1735</v>
      </c>
    </row>
    <row r="395" spans="1:23" ht="25.5" x14ac:dyDescent="0.2">
      <c r="A395" s="1" t="s">
        <v>168</v>
      </c>
      <c r="B395" s="2" t="s">
        <v>10</v>
      </c>
      <c r="C395" s="2" t="s">
        <v>169</v>
      </c>
      <c r="D395" s="2" t="s">
        <v>170</v>
      </c>
      <c r="E395" s="2">
        <v>2021</v>
      </c>
      <c r="F395" s="2" t="s">
        <v>1794</v>
      </c>
      <c r="G395" s="2" t="s">
        <v>1667</v>
      </c>
      <c r="H395" s="2" t="s">
        <v>1669</v>
      </c>
      <c r="I395" s="1" t="s">
        <v>14</v>
      </c>
      <c r="J395" s="1" t="s">
        <v>2267</v>
      </c>
      <c r="L395" s="53"/>
      <c r="M395" s="39"/>
      <c r="N395" s="39"/>
      <c r="O395" s="39"/>
      <c r="P395" s="39"/>
      <c r="Q395" s="39"/>
      <c r="R395" s="39"/>
      <c r="S395" s="39"/>
      <c r="T395" s="39"/>
      <c r="U395" s="39"/>
      <c r="V395" s="39"/>
      <c r="W395" s="60" t="s">
        <v>1735</v>
      </c>
    </row>
    <row r="396" spans="1:23" ht="25.5" x14ac:dyDescent="0.2">
      <c r="A396" s="1" t="s">
        <v>168</v>
      </c>
      <c r="B396" s="2" t="s">
        <v>10</v>
      </c>
      <c r="C396" s="2" t="s">
        <v>169</v>
      </c>
      <c r="D396" s="2" t="s">
        <v>170</v>
      </c>
      <c r="E396" s="2">
        <v>2021</v>
      </c>
      <c r="F396" s="2" t="s">
        <v>1796</v>
      </c>
      <c r="G396" s="2" t="s">
        <v>1667</v>
      </c>
      <c r="H396" s="2" t="s">
        <v>1669</v>
      </c>
      <c r="I396" s="1" t="s">
        <v>14</v>
      </c>
      <c r="J396" s="1" t="s">
        <v>2268</v>
      </c>
      <c r="L396" s="53"/>
      <c r="M396" s="39"/>
      <c r="N396" s="39"/>
      <c r="O396" s="39"/>
      <c r="P396" s="39"/>
      <c r="Q396" s="39"/>
      <c r="R396" s="39"/>
      <c r="S396" s="39"/>
      <c r="T396" s="39"/>
      <c r="U396" s="39"/>
      <c r="V396" s="39"/>
      <c r="W396" s="60" t="s">
        <v>1735</v>
      </c>
    </row>
    <row r="397" spans="1:23" ht="25.5" x14ac:dyDescent="0.2">
      <c r="A397" s="1" t="s">
        <v>168</v>
      </c>
      <c r="B397" s="2" t="s">
        <v>10</v>
      </c>
      <c r="C397" s="2" t="s">
        <v>169</v>
      </c>
      <c r="D397" s="2" t="s">
        <v>170</v>
      </c>
      <c r="E397" s="2">
        <v>2021</v>
      </c>
      <c r="F397" s="2" t="s">
        <v>1798</v>
      </c>
      <c r="G397" s="2" t="s">
        <v>1667</v>
      </c>
      <c r="H397" s="2" t="s">
        <v>1669</v>
      </c>
      <c r="I397" s="1" t="s">
        <v>14</v>
      </c>
      <c r="J397" s="1" t="s">
        <v>2269</v>
      </c>
      <c r="L397" s="53"/>
      <c r="M397" s="39"/>
      <c r="N397" s="39"/>
      <c r="O397" s="39"/>
      <c r="P397" s="39"/>
      <c r="Q397" s="39"/>
      <c r="R397" s="39"/>
      <c r="S397" s="39"/>
      <c r="T397" s="39"/>
      <c r="U397" s="39"/>
      <c r="V397" s="39"/>
      <c r="W397" s="60" t="s">
        <v>1735</v>
      </c>
    </row>
    <row r="398" spans="1:23" ht="165.75" x14ac:dyDescent="0.2">
      <c r="A398" s="1" t="s">
        <v>2270</v>
      </c>
      <c r="B398" s="2" t="s">
        <v>196</v>
      </c>
      <c r="C398" s="2" t="s">
        <v>2271</v>
      </c>
      <c r="D398" s="2" t="s">
        <v>2272</v>
      </c>
      <c r="E398" s="2">
        <v>2021</v>
      </c>
      <c r="F398" s="2" t="s">
        <v>1794</v>
      </c>
      <c r="G398" s="2" t="s">
        <v>1669</v>
      </c>
      <c r="H398" s="2" t="s">
        <v>1669</v>
      </c>
      <c r="I398" s="1" t="s">
        <v>2273</v>
      </c>
      <c r="J398" s="1" t="s">
        <v>2274</v>
      </c>
      <c r="L398" s="53"/>
      <c r="M398" s="39"/>
      <c r="N398" s="39"/>
      <c r="O398" s="39"/>
      <c r="P398" s="39"/>
      <c r="Q398" s="39"/>
      <c r="R398" s="39"/>
      <c r="S398" s="39"/>
      <c r="T398" s="39"/>
      <c r="U398" s="39"/>
      <c r="V398" s="39"/>
      <c r="W398" s="60" t="s">
        <v>1693</v>
      </c>
    </row>
    <row r="399" spans="1:23" ht="25.5" x14ac:dyDescent="0.2">
      <c r="A399" s="1" t="s">
        <v>445</v>
      </c>
      <c r="B399" s="2" t="s">
        <v>196</v>
      </c>
      <c r="C399" s="2" t="s">
        <v>30</v>
      </c>
      <c r="D399" s="2" t="s">
        <v>31</v>
      </c>
      <c r="E399" s="2">
        <v>2021</v>
      </c>
      <c r="F399" s="2" t="s">
        <v>1789</v>
      </c>
      <c r="G399" s="2" t="s">
        <v>1668</v>
      </c>
      <c r="H399" s="2" t="s">
        <v>1669</v>
      </c>
      <c r="I399" s="1" t="s">
        <v>14</v>
      </c>
      <c r="J399" s="1" t="s">
        <v>2275</v>
      </c>
      <c r="L399" s="53"/>
      <c r="M399" s="39"/>
      <c r="N399" s="39"/>
      <c r="O399" s="39"/>
      <c r="P399" s="39"/>
      <c r="Q399" s="39"/>
      <c r="R399" s="39"/>
      <c r="S399" s="39"/>
      <c r="T399" s="39"/>
      <c r="U399" s="39"/>
      <c r="V399" s="39"/>
      <c r="W399" s="60"/>
    </row>
    <row r="400" spans="1:23" ht="51" x14ac:dyDescent="0.2">
      <c r="A400" s="1" t="s">
        <v>445</v>
      </c>
      <c r="B400" s="2" t="s">
        <v>196</v>
      </c>
      <c r="C400" s="2" t="s">
        <v>30</v>
      </c>
      <c r="D400" s="2" t="s">
        <v>31</v>
      </c>
      <c r="E400" s="2">
        <v>2021</v>
      </c>
      <c r="F400" s="2" t="s">
        <v>311</v>
      </c>
      <c r="G400" s="2" t="s">
        <v>1668</v>
      </c>
      <c r="H400" s="2" t="s">
        <v>1669</v>
      </c>
      <c r="I400" s="1" t="s">
        <v>14</v>
      </c>
      <c r="J400" s="1" t="s">
        <v>2276</v>
      </c>
      <c r="L400" s="53">
        <v>0.247</v>
      </c>
      <c r="M400" s="39"/>
      <c r="N400" s="39"/>
      <c r="O400" s="39"/>
      <c r="P400" s="39"/>
      <c r="Q400" s="39"/>
      <c r="R400" s="39">
        <v>93.99</v>
      </c>
      <c r="S400" s="39"/>
      <c r="T400" s="39"/>
      <c r="U400" s="39"/>
      <c r="V400" s="39"/>
      <c r="W400" s="60"/>
    </row>
    <row r="401" spans="1:23" ht="38.25" x14ac:dyDescent="0.2">
      <c r="A401" s="1" t="s">
        <v>28</v>
      </c>
      <c r="B401" s="2" t="s">
        <v>29</v>
      </c>
      <c r="C401" s="2" t="s">
        <v>30</v>
      </c>
      <c r="D401" s="2" t="s">
        <v>31</v>
      </c>
      <c r="E401" s="2">
        <v>2021</v>
      </c>
      <c r="F401" s="2" t="s">
        <v>1776</v>
      </c>
      <c r="G401" s="2" t="s">
        <v>1667</v>
      </c>
      <c r="H401" s="2" t="s">
        <v>1669</v>
      </c>
      <c r="I401" s="1" t="s">
        <v>14</v>
      </c>
      <c r="J401" s="1" t="s">
        <v>2277</v>
      </c>
      <c r="L401" s="53">
        <v>0.17299999999999999</v>
      </c>
      <c r="M401" s="39"/>
      <c r="N401" s="39"/>
      <c r="O401" s="39">
        <v>596.04999999999995</v>
      </c>
      <c r="P401" s="39"/>
      <c r="Q401" s="39"/>
      <c r="R401" s="39"/>
      <c r="S401" s="39"/>
      <c r="T401" s="39"/>
      <c r="U401" s="39"/>
      <c r="V401" s="39"/>
      <c r="W401" s="60" t="s">
        <v>1736</v>
      </c>
    </row>
    <row r="402" spans="1:23" ht="38.25" x14ac:dyDescent="0.2">
      <c r="A402" s="1" t="s">
        <v>28</v>
      </c>
      <c r="B402" s="2" t="s">
        <v>29</v>
      </c>
      <c r="C402" s="2" t="s">
        <v>30</v>
      </c>
      <c r="D402" s="2" t="s">
        <v>31</v>
      </c>
      <c r="E402" s="2">
        <v>2021</v>
      </c>
      <c r="F402" s="2" t="s">
        <v>1779</v>
      </c>
      <c r="G402" s="2" t="s">
        <v>1667</v>
      </c>
      <c r="H402" s="2" t="s">
        <v>1669</v>
      </c>
      <c r="I402" s="1" t="s">
        <v>14</v>
      </c>
      <c r="J402" s="1" t="s">
        <v>2278</v>
      </c>
      <c r="L402" s="53">
        <v>0.18099999999999999</v>
      </c>
      <c r="M402" s="39"/>
      <c r="N402" s="39"/>
      <c r="O402" s="39">
        <v>507.72</v>
      </c>
      <c r="P402" s="39"/>
      <c r="Q402" s="39"/>
      <c r="R402" s="39"/>
      <c r="S402" s="39"/>
      <c r="T402" s="39"/>
      <c r="U402" s="39"/>
      <c r="V402" s="39"/>
      <c r="W402" s="60" t="s">
        <v>1736</v>
      </c>
    </row>
    <row r="403" spans="1:23" ht="38.25" x14ac:dyDescent="0.2">
      <c r="A403" s="1" t="s">
        <v>28</v>
      </c>
      <c r="B403" s="2" t="s">
        <v>29</v>
      </c>
      <c r="C403" s="2" t="s">
        <v>30</v>
      </c>
      <c r="D403" s="2" t="s">
        <v>31</v>
      </c>
      <c r="E403" s="2">
        <v>2021</v>
      </c>
      <c r="F403" s="2" t="s">
        <v>1781</v>
      </c>
      <c r="G403" s="2" t="s">
        <v>1667</v>
      </c>
      <c r="H403" s="2" t="s">
        <v>1669</v>
      </c>
      <c r="I403" s="1" t="s">
        <v>14</v>
      </c>
      <c r="J403" s="1" t="s">
        <v>2279</v>
      </c>
      <c r="L403" s="53">
        <v>0.21099999999999999</v>
      </c>
      <c r="M403" s="39"/>
      <c r="N403" s="39"/>
      <c r="O403" s="39">
        <v>603.55999999999995</v>
      </c>
      <c r="P403" s="39"/>
      <c r="Q403" s="39"/>
      <c r="R403" s="39"/>
      <c r="S403" s="39"/>
      <c r="T403" s="39"/>
      <c r="U403" s="39"/>
      <c r="V403" s="39"/>
      <c r="W403" s="60" t="s">
        <v>1736</v>
      </c>
    </row>
    <row r="404" spans="1:23" ht="38.25" x14ac:dyDescent="0.2">
      <c r="A404" s="1" t="s">
        <v>28</v>
      </c>
      <c r="B404" s="2" t="s">
        <v>29</v>
      </c>
      <c r="C404" s="2" t="s">
        <v>30</v>
      </c>
      <c r="D404" s="2" t="s">
        <v>31</v>
      </c>
      <c r="E404" s="2">
        <v>2021</v>
      </c>
      <c r="F404" s="2" t="s">
        <v>1783</v>
      </c>
      <c r="G404" s="2" t="s">
        <v>1667</v>
      </c>
      <c r="H404" s="2" t="s">
        <v>1669</v>
      </c>
      <c r="I404" s="1" t="s">
        <v>14</v>
      </c>
      <c r="J404" s="1" t="s">
        <v>2280</v>
      </c>
      <c r="L404" s="53">
        <v>0.20799999999999999</v>
      </c>
      <c r="M404" s="39"/>
      <c r="N404" s="39"/>
      <c r="O404" s="39">
        <v>626.12</v>
      </c>
      <c r="P404" s="39"/>
      <c r="Q404" s="39"/>
      <c r="R404" s="39"/>
      <c r="S404" s="39"/>
      <c r="T404" s="39"/>
      <c r="U404" s="39"/>
      <c r="V404" s="39"/>
      <c r="W404" s="60" t="s">
        <v>1736</v>
      </c>
    </row>
    <row r="405" spans="1:23" ht="38.25" x14ac:dyDescent="0.2">
      <c r="A405" s="1" t="s">
        <v>28</v>
      </c>
      <c r="B405" s="2" t="s">
        <v>29</v>
      </c>
      <c r="C405" s="2" t="s">
        <v>30</v>
      </c>
      <c r="D405" s="2" t="s">
        <v>31</v>
      </c>
      <c r="E405" s="2">
        <v>2021</v>
      </c>
      <c r="F405" s="2" t="s">
        <v>1785</v>
      </c>
      <c r="G405" s="2" t="s">
        <v>1667</v>
      </c>
      <c r="H405" s="2" t="s">
        <v>1669</v>
      </c>
      <c r="I405" s="1" t="s">
        <v>14</v>
      </c>
      <c r="J405" s="1" t="s">
        <v>2281</v>
      </c>
      <c r="L405" s="53">
        <v>0.17299999999999999</v>
      </c>
      <c r="M405" s="39"/>
      <c r="N405" s="39"/>
      <c r="O405" s="39">
        <v>626.12</v>
      </c>
      <c r="P405" s="39"/>
      <c r="Q405" s="39"/>
      <c r="R405" s="39"/>
      <c r="S405" s="39"/>
      <c r="T405" s="39"/>
      <c r="U405" s="39"/>
      <c r="V405" s="39"/>
      <c r="W405" s="60" t="s">
        <v>1736</v>
      </c>
    </row>
    <row r="406" spans="1:23" ht="38.25" x14ac:dyDescent="0.2">
      <c r="A406" s="1" t="s">
        <v>28</v>
      </c>
      <c r="B406" s="2" t="s">
        <v>29</v>
      </c>
      <c r="C406" s="2" t="s">
        <v>30</v>
      </c>
      <c r="D406" s="2" t="s">
        <v>31</v>
      </c>
      <c r="E406" s="2">
        <v>2021</v>
      </c>
      <c r="F406" s="2" t="s">
        <v>1787</v>
      </c>
      <c r="G406" s="2" t="s">
        <v>1668</v>
      </c>
      <c r="H406" s="2" t="s">
        <v>1669</v>
      </c>
      <c r="I406" s="1" t="s">
        <v>14</v>
      </c>
      <c r="J406" s="1" t="s">
        <v>2282</v>
      </c>
      <c r="L406" s="53">
        <v>0.17299999999999999</v>
      </c>
      <c r="M406" s="39"/>
      <c r="N406" s="39"/>
      <c r="O406" s="39">
        <v>591.33000000000004</v>
      </c>
      <c r="P406" s="39"/>
      <c r="Q406" s="39"/>
      <c r="R406" s="39"/>
      <c r="S406" s="39"/>
      <c r="T406" s="39"/>
      <c r="U406" s="39"/>
      <c r="V406" s="39"/>
      <c r="W406" s="60" t="s">
        <v>1736</v>
      </c>
    </row>
    <row r="407" spans="1:23" ht="38.25" x14ac:dyDescent="0.2">
      <c r="A407" s="1" t="s">
        <v>28</v>
      </c>
      <c r="B407" s="2" t="s">
        <v>29</v>
      </c>
      <c r="C407" s="2" t="s">
        <v>30</v>
      </c>
      <c r="D407" s="2" t="s">
        <v>31</v>
      </c>
      <c r="E407" s="2">
        <v>2021</v>
      </c>
      <c r="F407" s="2" t="s">
        <v>1789</v>
      </c>
      <c r="G407" s="2" t="s">
        <v>1668</v>
      </c>
      <c r="H407" s="2" t="s">
        <v>1669</v>
      </c>
      <c r="I407" s="1" t="s">
        <v>14</v>
      </c>
      <c r="J407" s="1" t="s">
        <v>2283</v>
      </c>
      <c r="L407" s="53">
        <v>0.183</v>
      </c>
      <c r="M407" s="39"/>
      <c r="N407" s="39"/>
      <c r="O407" s="39">
        <v>673.75</v>
      </c>
      <c r="P407" s="39"/>
      <c r="Q407" s="39"/>
      <c r="R407" s="39"/>
      <c r="S407" s="39"/>
      <c r="T407" s="39"/>
      <c r="U407" s="39"/>
      <c r="V407" s="39"/>
      <c r="W407" s="60" t="s">
        <v>1736</v>
      </c>
    </row>
    <row r="408" spans="1:23" ht="38.25" x14ac:dyDescent="0.2">
      <c r="A408" s="1" t="s">
        <v>28</v>
      </c>
      <c r="B408" s="2" t="s">
        <v>29</v>
      </c>
      <c r="C408" s="2" t="s">
        <v>30</v>
      </c>
      <c r="D408" s="2" t="s">
        <v>31</v>
      </c>
      <c r="E408" s="2">
        <v>2021</v>
      </c>
      <c r="F408" s="2" t="s">
        <v>1791</v>
      </c>
      <c r="G408" s="2" t="s">
        <v>1668</v>
      </c>
      <c r="H408" s="2" t="s">
        <v>1669</v>
      </c>
      <c r="I408" s="1" t="s">
        <v>14</v>
      </c>
      <c r="J408" s="1" t="s">
        <v>2284</v>
      </c>
      <c r="L408" s="53">
        <v>0.17599999999999999</v>
      </c>
      <c r="M408" s="39"/>
      <c r="N408" s="39"/>
      <c r="O408" s="39">
        <v>580.01</v>
      </c>
      <c r="P408" s="39"/>
      <c r="Q408" s="39"/>
      <c r="R408" s="39"/>
      <c r="S408" s="39"/>
      <c r="T408" s="39"/>
      <c r="U408" s="39"/>
      <c r="V408" s="39"/>
      <c r="W408" s="60" t="s">
        <v>1736</v>
      </c>
    </row>
    <row r="409" spans="1:23" ht="38.25" x14ac:dyDescent="0.2">
      <c r="A409" s="1" t="s">
        <v>28</v>
      </c>
      <c r="B409" s="2" t="s">
        <v>29</v>
      </c>
      <c r="C409" s="2" t="s">
        <v>30</v>
      </c>
      <c r="D409" s="2" t="s">
        <v>31</v>
      </c>
      <c r="E409" s="2">
        <v>2021</v>
      </c>
      <c r="F409" s="2" t="s">
        <v>311</v>
      </c>
      <c r="G409" s="2" t="s">
        <v>1668</v>
      </c>
      <c r="H409" s="2" t="s">
        <v>1669</v>
      </c>
      <c r="I409" s="1" t="s">
        <v>14</v>
      </c>
      <c r="J409" s="1" t="s">
        <v>2285</v>
      </c>
      <c r="L409" s="53">
        <v>0.19700000000000001</v>
      </c>
      <c r="M409" s="39"/>
      <c r="N409" s="39"/>
      <c r="O409" s="39">
        <v>574.99</v>
      </c>
      <c r="P409" s="39"/>
      <c r="Q409" s="39"/>
      <c r="R409" s="39"/>
      <c r="S409" s="39"/>
      <c r="T409" s="39"/>
      <c r="U409" s="39"/>
      <c r="V409" s="39"/>
      <c r="W409" s="60" t="s">
        <v>1736</v>
      </c>
    </row>
    <row r="410" spans="1:23" ht="38.25" x14ac:dyDescent="0.2">
      <c r="A410" s="1" t="s">
        <v>28</v>
      </c>
      <c r="B410" s="2" t="s">
        <v>29</v>
      </c>
      <c r="C410" s="2" t="s">
        <v>30</v>
      </c>
      <c r="D410" s="2" t="s">
        <v>31</v>
      </c>
      <c r="E410" s="2">
        <v>2021</v>
      </c>
      <c r="F410" s="2" t="s">
        <v>1794</v>
      </c>
      <c r="G410" s="2" t="s">
        <v>1668</v>
      </c>
      <c r="H410" s="2" t="s">
        <v>1669</v>
      </c>
      <c r="I410" s="1" t="s">
        <v>14</v>
      </c>
      <c r="J410" s="1" t="s">
        <v>2286</v>
      </c>
      <c r="L410" s="53">
        <v>0.192</v>
      </c>
      <c r="M410" s="39"/>
      <c r="N410" s="39"/>
      <c r="O410" s="39">
        <v>475.57</v>
      </c>
      <c r="P410" s="39"/>
      <c r="Q410" s="39"/>
      <c r="R410" s="39"/>
      <c r="S410" s="39"/>
      <c r="T410" s="39"/>
      <c r="U410" s="39"/>
      <c r="V410" s="39"/>
      <c r="W410" s="60" t="s">
        <v>1736</v>
      </c>
    </row>
    <row r="411" spans="1:23" ht="38.25" x14ac:dyDescent="0.2">
      <c r="A411" s="1" t="s">
        <v>28</v>
      </c>
      <c r="B411" s="2" t="s">
        <v>29</v>
      </c>
      <c r="C411" s="2" t="s">
        <v>30</v>
      </c>
      <c r="D411" s="2" t="s">
        <v>31</v>
      </c>
      <c r="E411" s="2">
        <v>2021</v>
      </c>
      <c r="F411" s="2" t="s">
        <v>1796</v>
      </c>
      <c r="G411" s="2" t="s">
        <v>1668</v>
      </c>
      <c r="H411" s="2" t="s">
        <v>1669</v>
      </c>
      <c r="I411" s="1" t="s">
        <v>14</v>
      </c>
      <c r="J411" s="1" t="s">
        <v>2287</v>
      </c>
      <c r="L411" s="53">
        <v>0.188</v>
      </c>
      <c r="M411" s="39"/>
      <c r="N411" s="39"/>
      <c r="O411" s="39">
        <v>511.48</v>
      </c>
      <c r="P411" s="39"/>
      <c r="Q411" s="39"/>
      <c r="R411" s="39"/>
      <c r="S411" s="39"/>
      <c r="T411" s="39"/>
      <c r="U411" s="39"/>
      <c r="V411" s="39"/>
      <c r="W411" s="60" t="s">
        <v>1736</v>
      </c>
    </row>
    <row r="412" spans="1:23" ht="38.25" x14ac:dyDescent="0.2">
      <c r="A412" s="1" t="s">
        <v>28</v>
      </c>
      <c r="B412" s="2" t="s">
        <v>29</v>
      </c>
      <c r="C412" s="2" t="s">
        <v>30</v>
      </c>
      <c r="D412" s="2" t="s">
        <v>31</v>
      </c>
      <c r="E412" s="2">
        <v>2021</v>
      </c>
      <c r="F412" s="2" t="s">
        <v>1798</v>
      </c>
      <c r="G412" s="2" t="s">
        <v>1668</v>
      </c>
      <c r="H412" s="2" t="s">
        <v>1669</v>
      </c>
      <c r="I412" s="1" t="s">
        <v>14</v>
      </c>
      <c r="J412" s="1" t="s">
        <v>2288</v>
      </c>
      <c r="L412" s="53">
        <v>0.188</v>
      </c>
      <c r="M412" s="39"/>
      <c r="N412" s="39"/>
      <c r="O412" s="39">
        <v>546.29999999999995</v>
      </c>
      <c r="P412" s="39"/>
      <c r="Q412" s="39"/>
      <c r="R412" s="39"/>
      <c r="S412" s="39"/>
      <c r="T412" s="39"/>
      <c r="U412" s="39"/>
      <c r="V412" s="39"/>
      <c r="W412" s="60" t="s">
        <v>1736</v>
      </c>
    </row>
    <row r="413" spans="1:23" ht="76.5" x14ac:dyDescent="0.2">
      <c r="A413" s="1" t="s">
        <v>389</v>
      </c>
      <c r="B413" s="2" t="s">
        <v>196</v>
      </c>
      <c r="C413" s="2" t="s">
        <v>30</v>
      </c>
      <c r="D413" s="2" t="s">
        <v>31</v>
      </c>
      <c r="E413" s="2">
        <v>2021</v>
      </c>
      <c r="F413" s="2" t="s">
        <v>1794</v>
      </c>
      <c r="G413" s="2" t="s">
        <v>1669</v>
      </c>
      <c r="H413" s="2" t="s">
        <v>1669</v>
      </c>
      <c r="I413" s="1" t="s">
        <v>2289</v>
      </c>
      <c r="J413" s="1" t="s">
        <v>2290</v>
      </c>
      <c r="L413" s="53">
        <v>0.35</v>
      </c>
      <c r="M413" s="39"/>
      <c r="N413" s="39"/>
      <c r="O413" s="39">
        <v>505</v>
      </c>
      <c r="P413" s="39"/>
      <c r="Q413" s="39"/>
      <c r="R413" s="39"/>
      <c r="S413" s="39"/>
      <c r="T413" s="39"/>
      <c r="U413" s="39"/>
      <c r="V413" s="39"/>
      <c r="W413" s="60"/>
    </row>
    <row r="414" spans="1:23" ht="102" x14ac:dyDescent="0.2">
      <c r="A414" s="1" t="s">
        <v>446</v>
      </c>
      <c r="B414" s="2" t="s">
        <v>196</v>
      </c>
      <c r="C414" s="2" t="s">
        <v>30</v>
      </c>
      <c r="D414" s="2" t="s">
        <v>31</v>
      </c>
      <c r="E414" s="2">
        <v>2021</v>
      </c>
      <c r="F414" s="2" t="s">
        <v>1789</v>
      </c>
      <c r="G414" s="2" t="s">
        <v>1668</v>
      </c>
      <c r="H414" s="2" t="s">
        <v>1669</v>
      </c>
      <c r="I414" s="1" t="s">
        <v>14</v>
      </c>
      <c r="J414" s="1" t="s">
        <v>2291</v>
      </c>
      <c r="L414" s="53">
        <v>30.05</v>
      </c>
      <c r="M414" s="39"/>
      <c r="N414" s="39"/>
      <c r="O414" s="39">
        <v>733.81</v>
      </c>
      <c r="P414" s="39"/>
      <c r="Q414" s="39"/>
      <c r="R414" s="39"/>
      <c r="S414" s="39"/>
      <c r="T414" s="39"/>
      <c r="U414" s="39"/>
      <c r="V414" s="39"/>
      <c r="W414" s="60"/>
    </row>
    <row r="415" spans="1:23" ht="76.5" x14ac:dyDescent="0.2">
      <c r="A415" s="1" t="s">
        <v>446</v>
      </c>
      <c r="B415" s="2" t="s">
        <v>196</v>
      </c>
      <c r="C415" s="2" t="s">
        <v>30</v>
      </c>
      <c r="D415" s="2" t="s">
        <v>31</v>
      </c>
      <c r="E415" s="2">
        <v>2021</v>
      </c>
      <c r="F415" s="2" t="s">
        <v>1791</v>
      </c>
      <c r="G415" s="2" t="s">
        <v>1669</v>
      </c>
      <c r="H415" s="2" t="s">
        <v>1668</v>
      </c>
      <c r="I415" s="1" t="s">
        <v>2292</v>
      </c>
      <c r="J415" s="1" t="s">
        <v>14</v>
      </c>
      <c r="L415" s="53"/>
      <c r="M415" s="39"/>
      <c r="N415" s="39"/>
      <c r="O415" s="39"/>
      <c r="P415" s="39"/>
      <c r="Q415" s="39"/>
      <c r="R415" s="39"/>
      <c r="S415" s="39"/>
      <c r="T415" s="39"/>
      <c r="U415" s="39"/>
      <c r="V415" s="39"/>
      <c r="W415" s="60" t="s">
        <v>1695</v>
      </c>
    </row>
    <row r="416" spans="1:23" ht="38.25" x14ac:dyDescent="0.2">
      <c r="A416" s="1" t="s">
        <v>122</v>
      </c>
      <c r="B416" s="2" t="s">
        <v>10</v>
      </c>
      <c r="C416" s="2" t="s">
        <v>123</v>
      </c>
      <c r="D416" s="2" t="s">
        <v>124</v>
      </c>
      <c r="E416" s="2">
        <v>2021</v>
      </c>
      <c r="F416" s="2" t="s">
        <v>1776</v>
      </c>
      <c r="G416" s="2" t="s">
        <v>1667</v>
      </c>
      <c r="H416" s="2" t="s">
        <v>1669</v>
      </c>
      <c r="I416" s="1" t="s">
        <v>14</v>
      </c>
      <c r="J416" s="1" t="s">
        <v>2293</v>
      </c>
      <c r="L416" s="53"/>
      <c r="M416" s="39"/>
      <c r="N416" s="39"/>
      <c r="O416" s="39"/>
      <c r="P416" s="39"/>
      <c r="Q416" s="39"/>
      <c r="R416" s="39"/>
      <c r="S416" s="39"/>
      <c r="T416" s="39"/>
      <c r="U416" s="39"/>
      <c r="V416" s="39"/>
      <c r="W416" s="60" t="s">
        <v>1735</v>
      </c>
    </row>
    <row r="417" spans="1:23" ht="25.5" x14ac:dyDescent="0.2">
      <c r="A417" s="1" t="s">
        <v>122</v>
      </c>
      <c r="B417" s="2" t="s">
        <v>10</v>
      </c>
      <c r="C417" s="2" t="s">
        <v>123</v>
      </c>
      <c r="D417" s="2" t="s">
        <v>124</v>
      </c>
      <c r="E417" s="2">
        <v>2021</v>
      </c>
      <c r="F417" s="2" t="s">
        <v>1779</v>
      </c>
      <c r="G417" s="2" t="s">
        <v>1667</v>
      </c>
      <c r="H417" s="2" t="s">
        <v>1669</v>
      </c>
      <c r="I417" s="1" t="s">
        <v>14</v>
      </c>
      <c r="J417" s="1" t="s">
        <v>2294</v>
      </c>
      <c r="L417" s="53"/>
      <c r="M417" s="39"/>
      <c r="N417" s="39"/>
      <c r="O417" s="39"/>
      <c r="P417" s="39"/>
      <c r="Q417" s="39"/>
      <c r="R417" s="39"/>
      <c r="S417" s="39"/>
      <c r="T417" s="39"/>
      <c r="U417" s="39"/>
      <c r="V417" s="39"/>
      <c r="W417" s="60" t="s">
        <v>1735</v>
      </c>
    </row>
    <row r="418" spans="1:23" ht="25.5" x14ac:dyDescent="0.2">
      <c r="A418" s="1" t="s">
        <v>122</v>
      </c>
      <c r="B418" s="2" t="s">
        <v>10</v>
      </c>
      <c r="C418" s="2" t="s">
        <v>123</v>
      </c>
      <c r="D418" s="2" t="s">
        <v>124</v>
      </c>
      <c r="E418" s="2">
        <v>2021</v>
      </c>
      <c r="F418" s="2" t="s">
        <v>1781</v>
      </c>
      <c r="G418" s="2" t="s">
        <v>1667</v>
      </c>
      <c r="H418" s="2" t="s">
        <v>1669</v>
      </c>
      <c r="I418" s="1" t="s">
        <v>14</v>
      </c>
      <c r="J418" s="1" t="s">
        <v>2295</v>
      </c>
      <c r="L418" s="53"/>
      <c r="M418" s="39"/>
      <c r="N418" s="39"/>
      <c r="O418" s="39"/>
      <c r="P418" s="39"/>
      <c r="Q418" s="39"/>
      <c r="R418" s="39"/>
      <c r="S418" s="39"/>
      <c r="T418" s="39"/>
      <c r="U418" s="39"/>
      <c r="V418" s="39"/>
      <c r="W418" s="60" t="s">
        <v>1735</v>
      </c>
    </row>
    <row r="419" spans="1:23" ht="25.5" x14ac:dyDescent="0.2">
      <c r="A419" s="1" t="s">
        <v>122</v>
      </c>
      <c r="B419" s="2" t="s">
        <v>10</v>
      </c>
      <c r="C419" s="2" t="s">
        <v>123</v>
      </c>
      <c r="D419" s="2" t="s">
        <v>124</v>
      </c>
      <c r="E419" s="2">
        <v>2021</v>
      </c>
      <c r="F419" s="2" t="s">
        <v>1785</v>
      </c>
      <c r="G419" s="2" t="s">
        <v>1667</v>
      </c>
      <c r="H419" s="2" t="s">
        <v>1669</v>
      </c>
      <c r="I419" s="1" t="s">
        <v>14</v>
      </c>
      <c r="J419" s="1" t="s">
        <v>2296</v>
      </c>
      <c r="L419" s="53"/>
      <c r="M419" s="39"/>
      <c r="N419" s="39"/>
      <c r="O419" s="39"/>
      <c r="P419" s="39"/>
      <c r="Q419" s="39"/>
      <c r="R419" s="39"/>
      <c r="S419" s="39"/>
      <c r="T419" s="39"/>
      <c r="U419" s="39"/>
      <c r="V419" s="39"/>
      <c r="W419" s="60" t="s">
        <v>1735</v>
      </c>
    </row>
    <row r="420" spans="1:23" ht="25.5" x14ac:dyDescent="0.2">
      <c r="A420" s="1" t="s">
        <v>122</v>
      </c>
      <c r="B420" s="2" t="s">
        <v>10</v>
      </c>
      <c r="C420" s="2" t="s">
        <v>123</v>
      </c>
      <c r="D420" s="2" t="s">
        <v>124</v>
      </c>
      <c r="E420" s="2">
        <v>2021</v>
      </c>
      <c r="F420" s="2" t="s">
        <v>1794</v>
      </c>
      <c r="G420" s="2" t="s">
        <v>1667</v>
      </c>
      <c r="H420" s="2" t="s">
        <v>1669</v>
      </c>
      <c r="I420" s="1" t="s">
        <v>14</v>
      </c>
      <c r="J420" s="1" t="s">
        <v>2297</v>
      </c>
      <c r="L420" s="53"/>
      <c r="M420" s="39"/>
      <c r="N420" s="39"/>
      <c r="O420" s="39"/>
      <c r="P420" s="39"/>
      <c r="Q420" s="39"/>
      <c r="R420" s="39"/>
      <c r="S420" s="39"/>
      <c r="T420" s="39"/>
      <c r="U420" s="39"/>
      <c r="V420" s="39"/>
      <c r="W420" s="60" t="s">
        <v>1735</v>
      </c>
    </row>
    <row r="421" spans="1:23" ht="25.5" x14ac:dyDescent="0.2">
      <c r="A421" s="1" t="s">
        <v>122</v>
      </c>
      <c r="B421" s="2" t="s">
        <v>10</v>
      </c>
      <c r="C421" s="2" t="s">
        <v>123</v>
      </c>
      <c r="D421" s="2" t="s">
        <v>124</v>
      </c>
      <c r="E421" s="2">
        <v>2021</v>
      </c>
      <c r="F421" s="2" t="s">
        <v>1798</v>
      </c>
      <c r="G421" s="2" t="s">
        <v>1667</v>
      </c>
      <c r="H421" s="2" t="s">
        <v>1669</v>
      </c>
      <c r="I421" s="1" t="s">
        <v>14</v>
      </c>
      <c r="J421" s="1" t="s">
        <v>2298</v>
      </c>
      <c r="L421" s="53"/>
      <c r="M421" s="39"/>
      <c r="N421" s="39"/>
      <c r="O421" s="39"/>
      <c r="P421" s="39"/>
      <c r="Q421" s="39"/>
      <c r="R421" s="39"/>
      <c r="S421" s="39"/>
      <c r="T421" s="39"/>
      <c r="U421" s="39"/>
      <c r="V421" s="39"/>
      <c r="W421" s="60" t="s">
        <v>1735</v>
      </c>
    </row>
    <row r="422" spans="1:23" ht="25.5" x14ac:dyDescent="0.2">
      <c r="A422" s="1" t="s">
        <v>56</v>
      </c>
      <c r="B422" s="2" t="s">
        <v>24</v>
      </c>
      <c r="C422" s="2" t="s">
        <v>57</v>
      </c>
      <c r="D422" s="2" t="s">
        <v>58</v>
      </c>
      <c r="E422" s="2">
        <v>2021</v>
      </c>
      <c r="F422" s="2" t="s">
        <v>1776</v>
      </c>
      <c r="G422" s="2" t="s">
        <v>1667</v>
      </c>
      <c r="H422" s="2" t="s">
        <v>1669</v>
      </c>
      <c r="I422" s="1" t="s">
        <v>14</v>
      </c>
      <c r="J422" s="1" t="s">
        <v>2299</v>
      </c>
      <c r="L422" s="53">
        <v>0.23</v>
      </c>
      <c r="M422" s="39"/>
      <c r="N422" s="39"/>
      <c r="O422" s="39">
        <v>112.28</v>
      </c>
      <c r="P422" s="39"/>
      <c r="Q422" s="39"/>
      <c r="R422" s="39"/>
      <c r="S422" s="39"/>
      <c r="T422" s="39"/>
      <c r="U422" s="39"/>
      <c r="V422" s="39"/>
      <c r="W422" s="60"/>
    </row>
    <row r="423" spans="1:23" ht="25.5" x14ac:dyDescent="0.2">
      <c r="A423" s="1" t="s">
        <v>56</v>
      </c>
      <c r="B423" s="2" t="s">
        <v>24</v>
      </c>
      <c r="C423" s="2" t="s">
        <v>57</v>
      </c>
      <c r="D423" s="2" t="s">
        <v>58</v>
      </c>
      <c r="E423" s="2">
        <v>2021</v>
      </c>
      <c r="F423" s="2" t="s">
        <v>1779</v>
      </c>
      <c r="G423" s="2" t="s">
        <v>1667</v>
      </c>
      <c r="H423" s="2" t="s">
        <v>1669</v>
      </c>
      <c r="I423" s="1" t="s">
        <v>14</v>
      </c>
      <c r="J423" s="1" t="s">
        <v>2300</v>
      </c>
      <c r="L423" s="53">
        <v>0.23</v>
      </c>
      <c r="M423" s="39"/>
      <c r="N423" s="39"/>
      <c r="O423" s="39">
        <v>110.67</v>
      </c>
      <c r="P423" s="39"/>
      <c r="Q423" s="39"/>
      <c r="R423" s="39"/>
      <c r="S423" s="39"/>
      <c r="T423" s="39"/>
      <c r="U423" s="39"/>
      <c r="V423" s="39"/>
      <c r="W423" s="60"/>
    </row>
    <row r="424" spans="1:23" ht="25.5" x14ac:dyDescent="0.2">
      <c r="A424" s="1" t="s">
        <v>56</v>
      </c>
      <c r="B424" s="2" t="s">
        <v>24</v>
      </c>
      <c r="C424" s="2" t="s">
        <v>57</v>
      </c>
      <c r="D424" s="2" t="s">
        <v>58</v>
      </c>
      <c r="E424" s="2">
        <v>2021</v>
      </c>
      <c r="F424" s="2" t="s">
        <v>1781</v>
      </c>
      <c r="G424" s="2" t="s">
        <v>1667</v>
      </c>
      <c r="H424" s="2" t="s">
        <v>1669</v>
      </c>
      <c r="I424" s="1" t="s">
        <v>14</v>
      </c>
      <c r="J424" s="1" t="s">
        <v>2301</v>
      </c>
      <c r="L424" s="53">
        <v>0.24</v>
      </c>
      <c r="M424" s="39"/>
      <c r="N424" s="39"/>
      <c r="O424" s="39">
        <v>114.71</v>
      </c>
      <c r="P424" s="39"/>
      <c r="Q424" s="39"/>
      <c r="R424" s="39"/>
      <c r="S424" s="39"/>
      <c r="T424" s="39"/>
      <c r="U424" s="39"/>
      <c r="V424" s="39"/>
      <c r="W424" s="60"/>
    </row>
    <row r="425" spans="1:23" ht="76.5" x14ac:dyDescent="0.2">
      <c r="A425" s="1" t="s">
        <v>56</v>
      </c>
      <c r="B425" s="2" t="s">
        <v>24</v>
      </c>
      <c r="C425" s="2" t="s">
        <v>57</v>
      </c>
      <c r="D425" s="2" t="s">
        <v>58</v>
      </c>
      <c r="E425" s="2">
        <v>2021</v>
      </c>
      <c r="F425" s="2" t="s">
        <v>1783</v>
      </c>
      <c r="G425" s="2" t="s">
        <v>1667</v>
      </c>
      <c r="H425" s="2" t="s">
        <v>1669</v>
      </c>
      <c r="I425" s="1" t="s">
        <v>14</v>
      </c>
      <c r="J425" s="1" t="s">
        <v>2302</v>
      </c>
      <c r="L425" s="53">
        <v>0.24199999999999999</v>
      </c>
      <c r="M425" s="39"/>
      <c r="N425" s="39"/>
      <c r="O425" s="39">
        <v>80.19</v>
      </c>
      <c r="P425" s="39"/>
      <c r="Q425" s="39"/>
      <c r="R425" s="39"/>
      <c r="S425" s="39"/>
      <c r="T425" s="39"/>
      <c r="U425" s="39"/>
      <c r="V425" s="39"/>
      <c r="W425" s="60"/>
    </row>
    <row r="426" spans="1:23" ht="25.5" x14ac:dyDescent="0.2">
      <c r="A426" s="1" t="s">
        <v>56</v>
      </c>
      <c r="B426" s="2" t="s">
        <v>24</v>
      </c>
      <c r="C426" s="2" t="s">
        <v>57</v>
      </c>
      <c r="D426" s="2" t="s">
        <v>58</v>
      </c>
      <c r="E426" s="2">
        <v>2021</v>
      </c>
      <c r="F426" s="2" t="s">
        <v>1785</v>
      </c>
      <c r="G426" s="2" t="s">
        <v>1667</v>
      </c>
      <c r="H426" s="2" t="s">
        <v>1669</v>
      </c>
      <c r="I426" s="1" t="s">
        <v>14</v>
      </c>
      <c r="J426" s="1" t="s">
        <v>2303</v>
      </c>
      <c r="L426" s="53">
        <v>0.24199999999999999</v>
      </c>
      <c r="M426" s="39"/>
      <c r="N426" s="39"/>
      <c r="O426" s="39">
        <v>112.47</v>
      </c>
      <c r="P426" s="39"/>
      <c r="Q426" s="39"/>
      <c r="R426" s="39"/>
      <c r="S426" s="39"/>
      <c r="T426" s="39"/>
      <c r="U426" s="39"/>
      <c r="V426" s="39"/>
      <c r="W426" s="60"/>
    </row>
    <row r="427" spans="1:23" ht="25.5" x14ac:dyDescent="0.2">
      <c r="A427" s="1" t="s">
        <v>56</v>
      </c>
      <c r="B427" s="2" t="s">
        <v>24</v>
      </c>
      <c r="C427" s="2" t="s">
        <v>57</v>
      </c>
      <c r="D427" s="2" t="s">
        <v>58</v>
      </c>
      <c r="E427" s="2">
        <v>2021</v>
      </c>
      <c r="F427" s="2" t="s">
        <v>1787</v>
      </c>
      <c r="G427" s="2" t="s">
        <v>1667</v>
      </c>
      <c r="H427" s="2" t="s">
        <v>1669</v>
      </c>
      <c r="I427" s="1" t="s">
        <v>14</v>
      </c>
      <c r="J427" s="1" t="s">
        <v>2304</v>
      </c>
      <c r="L427" s="53">
        <v>0.22</v>
      </c>
      <c r="M427" s="39"/>
      <c r="N427" s="39"/>
      <c r="O427" s="39">
        <v>93.27</v>
      </c>
      <c r="P427" s="39"/>
      <c r="Q427" s="39"/>
      <c r="R427" s="39"/>
      <c r="S427" s="39"/>
      <c r="T427" s="39"/>
      <c r="U427" s="39"/>
      <c r="V427" s="39"/>
      <c r="W427" s="60"/>
    </row>
    <row r="428" spans="1:23" ht="38.25" x14ac:dyDescent="0.2">
      <c r="A428" s="1" t="s">
        <v>56</v>
      </c>
      <c r="B428" s="2" t="s">
        <v>24</v>
      </c>
      <c r="C428" s="2" t="s">
        <v>57</v>
      </c>
      <c r="D428" s="2" t="s">
        <v>58</v>
      </c>
      <c r="E428" s="2">
        <v>2021</v>
      </c>
      <c r="F428" s="2" t="s">
        <v>1789</v>
      </c>
      <c r="G428" s="2" t="s">
        <v>1667</v>
      </c>
      <c r="H428" s="2" t="s">
        <v>1669</v>
      </c>
      <c r="I428" s="1" t="s">
        <v>14</v>
      </c>
      <c r="J428" s="1" t="s">
        <v>2305</v>
      </c>
      <c r="L428" s="53">
        <v>0.23100000000000001</v>
      </c>
      <c r="M428" s="39"/>
      <c r="N428" s="39"/>
      <c r="O428" s="39">
        <v>117.15</v>
      </c>
      <c r="P428" s="39"/>
      <c r="Q428" s="39"/>
      <c r="R428" s="39"/>
      <c r="S428" s="39"/>
      <c r="T428" s="39"/>
      <c r="U428" s="39"/>
      <c r="V428" s="39"/>
      <c r="W428" s="60"/>
    </row>
    <row r="429" spans="1:23" ht="63.75" x14ac:dyDescent="0.2">
      <c r="A429" s="1" t="s">
        <v>56</v>
      </c>
      <c r="B429" s="2" t="s">
        <v>24</v>
      </c>
      <c r="C429" s="2" t="s">
        <v>57</v>
      </c>
      <c r="D429" s="2" t="s">
        <v>58</v>
      </c>
      <c r="E429" s="2">
        <v>2021</v>
      </c>
      <c r="F429" s="2" t="s">
        <v>1791</v>
      </c>
      <c r="G429" s="2" t="s">
        <v>1667</v>
      </c>
      <c r="H429" s="2" t="s">
        <v>1669</v>
      </c>
      <c r="I429" s="1" t="s">
        <v>14</v>
      </c>
      <c r="J429" s="1" t="s">
        <v>2306</v>
      </c>
      <c r="L429" s="53">
        <v>0.22600000000000001</v>
      </c>
      <c r="M429" s="39"/>
      <c r="N429" s="39"/>
      <c r="O429" s="39">
        <v>118.09</v>
      </c>
      <c r="P429" s="39"/>
      <c r="Q429" s="39"/>
      <c r="R429" s="39"/>
      <c r="S429" s="39"/>
      <c r="T429" s="39"/>
      <c r="U429" s="39"/>
      <c r="V429" s="39"/>
      <c r="W429" s="60"/>
    </row>
    <row r="430" spans="1:23" ht="25.5" x14ac:dyDescent="0.2">
      <c r="A430" s="1" t="s">
        <v>56</v>
      </c>
      <c r="B430" s="2" t="s">
        <v>24</v>
      </c>
      <c r="C430" s="2" t="s">
        <v>57</v>
      </c>
      <c r="D430" s="2" t="s">
        <v>58</v>
      </c>
      <c r="E430" s="2">
        <v>2021</v>
      </c>
      <c r="F430" s="2" t="s">
        <v>311</v>
      </c>
      <c r="G430" s="2" t="s">
        <v>1667</v>
      </c>
      <c r="H430" s="2" t="s">
        <v>1669</v>
      </c>
      <c r="I430" s="1" t="s">
        <v>14</v>
      </c>
      <c r="J430" s="1" t="s">
        <v>2307</v>
      </c>
      <c r="L430" s="53">
        <v>0.24</v>
      </c>
      <c r="M430" s="39"/>
      <c r="N430" s="39"/>
      <c r="O430" s="39">
        <f>61.81+38.23</f>
        <v>100.03999999999999</v>
      </c>
      <c r="P430" s="39"/>
      <c r="Q430" s="39"/>
      <c r="R430" s="39"/>
      <c r="S430" s="39"/>
      <c r="T430" s="39"/>
      <c r="U430" s="39"/>
      <c r="V430" s="39"/>
      <c r="W430" s="60"/>
    </row>
    <row r="431" spans="1:23" ht="25.5" x14ac:dyDescent="0.2">
      <c r="A431" s="1" t="s">
        <v>56</v>
      </c>
      <c r="B431" s="2" t="s">
        <v>24</v>
      </c>
      <c r="C431" s="2" t="s">
        <v>57</v>
      </c>
      <c r="D431" s="2" t="s">
        <v>58</v>
      </c>
      <c r="E431" s="2">
        <v>2021</v>
      </c>
      <c r="F431" s="2" t="s">
        <v>1794</v>
      </c>
      <c r="G431" s="2" t="s">
        <v>1667</v>
      </c>
      <c r="H431" s="2" t="s">
        <v>1669</v>
      </c>
      <c r="I431" s="1" t="s">
        <v>14</v>
      </c>
      <c r="J431" s="1" t="s">
        <v>2308</v>
      </c>
      <c r="L431" s="53">
        <v>0.24</v>
      </c>
      <c r="M431" s="39"/>
      <c r="N431" s="39"/>
      <c r="O431" s="39">
        <v>113</v>
      </c>
      <c r="P431" s="39"/>
      <c r="Q431" s="39"/>
      <c r="R431" s="39"/>
      <c r="S431" s="39"/>
      <c r="T431" s="39"/>
      <c r="U431" s="39"/>
      <c r="V431" s="39"/>
      <c r="W431" s="60"/>
    </row>
    <row r="432" spans="1:23" ht="25.5" x14ac:dyDescent="0.2">
      <c r="A432" s="1" t="s">
        <v>56</v>
      </c>
      <c r="B432" s="2" t="s">
        <v>24</v>
      </c>
      <c r="C432" s="2" t="s">
        <v>57</v>
      </c>
      <c r="D432" s="2" t="s">
        <v>58</v>
      </c>
      <c r="E432" s="2">
        <v>2021</v>
      </c>
      <c r="F432" s="2" t="s">
        <v>1796</v>
      </c>
      <c r="G432" s="2" t="s">
        <v>1667</v>
      </c>
      <c r="H432" s="2" t="s">
        <v>1669</v>
      </c>
      <c r="I432" s="1" t="s">
        <v>14</v>
      </c>
      <c r="J432" s="1" t="s">
        <v>2309</v>
      </c>
      <c r="L432" s="53">
        <v>0.23</v>
      </c>
      <c r="M432" s="39"/>
      <c r="N432" s="39"/>
      <c r="O432" s="39">
        <v>123.12</v>
      </c>
      <c r="P432" s="39"/>
      <c r="Q432" s="39"/>
      <c r="R432" s="39"/>
      <c r="S432" s="39"/>
      <c r="T432" s="39"/>
      <c r="U432" s="39"/>
      <c r="V432" s="39"/>
      <c r="W432" s="60"/>
    </row>
    <row r="433" spans="1:23" ht="25.5" x14ac:dyDescent="0.2">
      <c r="A433" s="1" t="s">
        <v>56</v>
      </c>
      <c r="B433" s="2" t="s">
        <v>24</v>
      </c>
      <c r="C433" s="2" t="s">
        <v>57</v>
      </c>
      <c r="D433" s="2" t="s">
        <v>58</v>
      </c>
      <c r="E433" s="2">
        <v>2021</v>
      </c>
      <c r="F433" s="2" t="s">
        <v>1798</v>
      </c>
      <c r="G433" s="2" t="s">
        <v>1667</v>
      </c>
      <c r="H433" s="2" t="s">
        <v>1669</v>
      </c>
      <c r="I433" s="1" t="s">
        <v>14</v>
      </c>
      <c r="J433" s="1" t="s">
        <v>2310</v>
      </c>
      <c r="L433" s="53">
        <v>0.23</v>
      </c>
      <c r="M433" s="39"/>
      <c r="N433" s="39"/>
      <c r="O433" s="39">
        <v>108</v>
      </c>
      <c r="P433" s="39"/>
      <c r="Q433" s="39"/>
      <c r="R433" s="39"/>
      <c r="S433" s="39"/>
      <c r="T433" s="39"/>
      <c r="U433" s="39"/>
      <c r="V433" s="39"/>
      <c r="W433" s="60"/>
    </row>
    <row r="434" spans="1:23" ht="25.5" x14ac:dyDescent="0.2">
      <c r="A434" s="1" t="s">
        <v>393</v>
      </c>
      <c r="B434" s="2" t="s">
        <v>32</v>
      </c>
      <c r="C434" s="2" t="s">
        <v>394</v>
      </c>
      <c r="D434" s="2" t="s">
        <v>243</v>
      </c>
      <c r="E434" s="2">
        <v>2021</v>
      </c>
      <c r="F434" s="2" t="s">
        <v>1796</v>
      </c>
      <c r="G434" s="2" t="s">
        <v>1667</v>
      </c>
      <c r="H434" s="2" t="s">
        <v>1669</v>
      </c>
      <c r="I434" s="1" t="s">
        <v>14</v>
      </c>
      <c r="J434" s="1" t="s">
        <v>2311</v>
      </c>
      <c r="L434" s="33" t="s">
        <v>1670</v>
      </c>
      <c r="M434" s="15"/>
      <c r="N434" s="15"/>
      <c r="O434" s="15"/>
      <c r="P434" s="15"/>
      <c r="Q434" s="15"/>
      <c r="R434" s="15">
        <v>75.56</v>
      </c>
      <c r="S434" s="15"/>
      <c r="T434" s="15"/>
      <c r="U434" s="15"/>
      <c r="V434" s="3"/>
      <c r="W434" s="60" t="s">
        <v>1984</v>
      </c>
    </row>
    <row r="435" spans="1:23" ht="38.25" x14ac:dyDescent="0.2">
      <c r="A435" s="1" t="s">
        <v>347</v>
      </c>
      <c r="B435" s="2" t="s">
        <v>222</v>
      </c>
      <c r="C435" s="2" t="s">
        <v>348</v>
      </c>
      <c r="D435" s="2" t="s">
        <v>192</v>
      </c>
      <c r="E435" s="2">
        <v>2021</v>
      </c>
      <c r="F435" s="2" t="s">
        <v>1796</v>
      </c>
      <c r="G435" s="2" t="s">
        <v>1669</v>
      </c>
      <c r="H435" s="2" t="s">
        <v>1669</v>
      </c>
      <c r="I435" s="1" t="s">
        <v>2312</v>
      </c>
      <c r="J435" s="1" t="s">
        <v>2313</v>
      </c>
      <c r="L435" s="53"/>
      <c r="M435" s="39"/>
      <c r="N435" s="39"/>
      <c r="O435" s="39"/>
      <c r="P435" s="39"/>
      <c r="Q435" s="39"/>
      <c r="R435" s="39"/>
      <c r="S435" s="39"/>
      <c r="T435" s="39"/>
      <c r="U435" s="39"/>
      <c r="V435" s="39"/>
      <c r="W435" s="60" t="s">
        <v>1703</v>
      </c>
    </row>
    <row r="436" spans="1:23" ht="38.25" x14ac:dyDescent="0.2">
      <c r="A436" s="1" t="s">
        <v>15</v>
      </c>
      <c r="B436" s="2" t="s">
        <v>16</v>
      </c>
      <c r="C436" s="2" t="s">
        <v>17</v>
      </c>
      <c r="D436" s="2" t="s">
        <v>18</v>
      </c>
      <c r="E436" s="2">
        <v>2021</v>
      </c>
      <c r="F436" s="2" t="s">
        <v>1776</v>
      </c>
      <c r="G436" s="2" t="s">
        <v>1668</v>
      </c>
      <c r="H436" s="2" t="s">
        <v>1669</v>
      </c>
      <c r="I436" s="1" t="s">
        <v>14</v>
      </c>
      <c r="J436" s="1" t="s">
        <v>2314</v>
      </c>
      <c r="L436" s="53">
        <v>0.25900000000000001</v>
      </c>
      <c r="M436" s="39"/>
      <c r="N436" s="39"/>
      <c r="O436" s="39">
        <v>599.48</v>
      </c>
      <c r="P436" s="39"/>
      <c r="Q436" s="39"/>
      <c r="R436" s="39"/>
      <c r="S436" s="39"/>
      <c r="T436" s="39">
        <v>444.51</v>
      </c>
      <c r="U436" s="39"/>
      <c r="V436" s="39"/>
      <c r="W436" s="60"/>
    </row>
    <row r="437" spans="1:23" ht="51" x14ac:dyDescent="0.2">
      <c r="A437" s="1" t="s">
        <v>15</v>
      </c>
      <c r="B437" s="2" t="s">
        <v>16</v>
      </c>
      <c r="C437" s="2" t="s">
        <v>17</v>
      </c>
      <c r="D437" s="2" t="s">
        <v>18</v>
      </c>
      <c r="E437" s="2">
        <v>2021</v>
      </c>
      <c r="F437" s="2" t="s">
        <v>1779</v>
      </c>
      <c r="G437" s="2" t="s">
        <v>1668</v>
      </c>
      <c r="H437" s="2" t="s">
        <v>1669</v>
      </c>
      <c r="I437" s="1" t="s">
        <v>14</v>
      </c>
      <c r="J437" s="1" t="s">
        <v>2315</v>
      </c>
      <c r="L437" s="53">
        <v>0.255</v>
      </c>
      <c r="M437" s="39"/>
      <c r="N437" s="39"/>
      <c r="O437" s="15">
        <f>1138-T437</f>
        <v>750.64400000000001</v>
      </c>
      <c r="P437" s="39"/>
      <c r="Q437" s="39"/>
      <c r="R437" s="39"/>
      <c r="S437" s="39"/>
      <c r="T437" s="39">
        <v>387.35599999999999</v>
      </c>
      <c r="U437" s="39"/>
      <c r="V437" s="39"/>
      <c r="W437" s="60" t="s">
        <v>2316</v>
      </c>
    </row>
    <row r="438" spans="1:23" ht="38.25" x14ac:dyDescent="0.2">
      <c r="A438" s="1" t="s">
        <v>15</v>
      </c>
      <c r="B438" s="2" t="s">
        <v>16</v>
      </c>
      <c r="C438" s="2" t="s">
        <v>17</v>
      </c>
      <c r="D438" s="2" t="s">
        <v>18</v>
      </c>
      <c r="E438" s="2">
        <v>2021</v>
      </c>
      <c r="F438" s="2" t="s">
        <v>1781</v>
      </c>
      <c r="G438" s="2" t="s">
        <v>1668</v>
      </c>
      <c r="H438" s="2" t="s">
        <v>1669</v>
      </c>
      <c r="I438" s="1" t="s">
        <v>14</v>
      </c>
      <c r="J438" s="1" t="s">
        <v>2317</v>
      </c>
      <c r="L438" s="53">
        <v>0.26800000000000002</v>
      </c>
      <c r="M438" s="39"/>
      <c r="N438" s="39"/>
      <c r="O438" s="39">
        <v>586.91999999999996</v>
      </c>
      <c r="P438" s="39"/>
      <c r="Q438" s="39"/>
      <c r="R438" s="39"/>
      <c r="S438" s="39"/>
      <c r="T438" s="39">
        <v>434.03399999999999</v>
      </c>
      <c r="U438" s="39"/>
      <c r="V438" s="39"/>
      <c r="W438" s="60"/>
    </row>
    <row r="439" spans="1:23" ht="38.25" x14ac:dyDescent="0.2">
      <c r="A439" s="1" t="s">
        <v>15</v>
      </c>
      <c r="B439" s="2" t="s">
        <v>16</v>
      </c>
      <c r="C439" s="2" t="s">
        <v>17</v>
      </c>
      <c r="D439" s="2" t="s">
        <v>18</v>
      </c>
      <c r="E439" s="2">
        <v>2021</v>
      </c>
      <c r="F439" s="2" t="s">
        <v>1783</v>
      </c>
      <c r="G439" s="2" t="s">
        <v>1668</v>
      </c>
      <c r="H439" s="2" t="s">
        <v>1669</v>
      </c>
      <c r="I439" s="1" t="s">
        <v>14</v>
      </c>
      <c r="J439" s="1" t="s">
        <v>2318</v>
      </c>
      <c r="L439" s="53">
        <v>0.25900000000000001</v>
      </c>
      <c r="M439" s="39"/>
      <c r="N439" s="39"/>
      <c r="O439" s="39">
        <v>442.48399999999998</v>
      </c>
      <c r="P439" s="39"/>
      <c r="Q439" s="39"/>
      <c r="R439" s="39"/>
      <c r="S439" s="39"/>
      <c r="T439" s="39">
        <v>593.50699999999995</v>
      </c>
      <c r="U439" s="39"/>
      <c r="V439" s="39"/>
      <c r="W439" s="60"/>
    </row>
    <row r="440" spans="1:23" ht="38.25" x14ac:dyDescent="0.2">
      <c r="A440" s="1" t="s">
        <v>15</v>
      </c>
      <c r="B440" s="2" t="s">
        <v>16</v>
      </c>
      <c r="C440" s="2" t="s">
        <v>17</v>
      </c>
      <c r="D440" s="2" t="s">
        <v>18</v>
      </c>
      <c r="E440" s="2">
        <v>2021</v>
      </c>
      <c r="F440" s="2" t="s">
        <v>1785</v>
      </c>
      <c r="G440" s="2" t="s">
        <v>1668</v>
      </c>
      <c r="H440" s="2" t="s">
        <v>1669</v>
      </c>
      <c r="I440" s="1" t="s">
        <v>14</v>
      </c>
      <c r="J440" s="1" t="s">
        <v>2319</v>
      </c>
      <c r="L440" s="53">
        <v>0.27600000000000002</v>
      </c>
      <c r="M440" s="39"/>
      <c r="N440" s="39"/>
      <c r="O440" s="39">
        <v>758.38499999999999</v>
      </c>
      <c r="P440" s="39"/>
      <c r="Q440" s="39"/>
      <c r="R440" s="39"/>
      <c r="S440" s="39"/>
      <c r="T440" s="39">
        <v>440.84399999999999</v>
      </c>
      <c r="U440" s="39"/>
      <c r="V440" s="39"/>
      <c r="W440" s="60"/>
    </row>
    <row r="441" spans="1:23" ht="38.25" x14ac:dyDescent="0.2">
      <c r="A441" s="1" t="s">
        <v>15</v>
      </c>
      <c r="B441" s="2" t="s">
        <v>16</v>
      </c>
      <c r="C441" s="2" t="s">
        <v>17</v>
      </c>
      <c r="D441" s="2" t="s">
        <v>18</v>
      </c>
      <c r="E441" s="2">
        <v>2021</v>
      </c>
      <c r="F441" s="2" t="s">
        <v>1787</v>
      </c>
      <c r="G441" s="2" t="s">
        <v>1668</v>
      </c>
      <c r="H441" s="2" t="s">
        <v>1669</v>
      </c>
      <c r="I441" s="1" t="s">
        <v>14</v>
      </c>
      <c r="J441" s="1" t="s">
        <v>2320</v>
      </c>
      <c r="L441" s="53">
        <v>0.28899999999999998</v>
      </c>
      <c r="M441" s="39"/>
      <c r="N441" s="39"/>
      <c r="O441" s="39">
        <v>839.45699999999999</v>
      </c>
      <c r="P441" s="39"/>
      <c r="Q441" s="39"/>
      <c r="R441" s="39"/>
      <c r="S441" s="39"/>
      <c r="T441" s="39">
        <v>413.35500000000002</v>
      </c>
      <c r="U441" s="39"/>
      <c r="V441" s="39"/>
      <c r="W441" s="60"/>
    </row>
    <row r="442" spans="1:23" ht="51" x14ac:dyDescent="0.2">
      <c r="A442" s="1" t="s">
        <v>15</v>
      </c>
      <c r="B442" s="2" t="s">
        <v>16</v>
      </c>
      <c r="C442" s="2" t="s">
        <v>17</v>
      </c>
      <c r="D442" s="2" t="s">
        <v>18</v>
      </c>
      <c r="E442" s="2">
        <v>2021</v>
      </c>
      <c r="F442" s="2" t="s">
        <v>1789</v>
      </c>
      <c r="G442" s="2" t="s">
        <v>1668</v>
      </c>
      <c r="H442" s="2" t="s">
        <v>1669</v>
      </c>
      <c r="I442" s="1" t="s">
        <v>14</v>
      </c>
      <c r="J442" s="1" t="s">
        <v>2321</v>
      </c>
      <c r="L442" s="53">
        <v>0.28799999999999998</v>
      </c>
      <c r="M442" s="39"/>
      <c r="N442" s="39"/>
      <c r="O442" s="39">
        <v>744.52200000000005</v>
      </c>
      <c r="P442" s="39"/>
      <c r="Q442" s="39"/>
      <c r="R442" s="39"/>
      <c r="S442" s="39"/>
      <c r="T442" s="39">
        <v>453.452</v>
      </c>
      <c r="U442" s="39"/>
      <c r="V442" s="39"/>
      <c r="W442" s="60"/>
    </row>
    <row r="443" spans="1:23" ht="38.25" x14ac:dyDescent="0.2">
      <c r="A443" s="1" t="s">
        <v>15</v>
      </c>
      <c r="B443" s="2" t="s">
        <v>16</v>
      </c>
      <c r="C443" s="2" t="s">
        <v>17</v>
      </c>
      <c r="D443" s="2" t="s">
        <v>18</v>
      </c>
      <c r="E443" s="2">
        <v>2021</v>
      </c>
      <c r="F443" s="2" t="s">
        <v>1791</v>
      </c>
      <c r="G443" s="2" t="s">
        <v>1668</v>
      </c>
      <c r="H443" s="2" t="s">
        <v>1669</v>
      </c>
      <c r="I443" s="1" t="s">
        <v>14</v>
      </c>
      <c r="J443" s="1" t="s">
        <v>2322</v>
      </c>
      <c r="L443" s="53">
        <v>0.28299999999999997</v>
      </c>
      <c r="M443" s="39"/>
      <c r="N443" s="39"/>
      <c r="O443" s="39">
        <v>781.79600000000005</v>
      </c>
      <c r="P443" s="39"/>
      <c r="Q443" s="39"/>
      <c r="R443" s="39"/>
      <c r="S443" s="39"/>
      <c r="T443" s="39">
        <v>398.19400000000002</v>
      </c>
      <c r="U443" s="39"/>
      <c r="V443" s="39"/>
      <c r="W443" s="60"/>
    </row>
    <row r="444" spans="1:23" ht="38.25" x14ac:dyDescent="0.2">
      <c r="A444" s="1" t="s">
        <v>15</v>
      </c>
      <c r="B444" s="2" t="s">
        <v>16</v>
      </c>
      <c r="C444" s="2" t="s">
        <v>17</v>
      </c>
      <c r="D444" s="2" t="s">
        <v>18</v>
      </c>
      <c r="E444" s="2">
        <v>2021</v>
      </c>
      <c r="F444" s="2" t="s">
        <v>311</v>
      </c>
      <c r="G444" s="2" t="s">
        <v>1668</v>
      </c>
      <c r="H444" s="2" t="s">
        <v>1669</v>
      </c>
      <c r="I444" s="1" t="s">
        <v>14</v>
      </c>
      <c r="J444" s="1" t="s">
        <v>2323</v>
      </c>
      <c r="L444" s="53">
        <v>0.28399999999999997</v>
      </c>
      <c r="M444" s="39"/>
      <c r="N444" s="39"/>
      <c r="O444" s="39">
        <v>681.81899999999996</v>
      </c>
      <c r="P444" s="39"/>
      <c r="Q444" s="39"/>
      <c r="R444" s="39"/>
      <c r="S444" s="39"/>
      <c r="T444" s="39">
        <v>355.90199999999999</v>
      </c>
      <c r="U444" s="39"/>
      <c r="V444" s="39"/>
      <c r="W444" s="60"/>
    </row>
    <row r="445" spans="1:23" ht="38.25" x14ac:dyDescent="0.2">
      <c r="A445" s="1" t="s">
        <v>15</v>
      </c>
      <c r="B445" s="2" t="s">
        <v>16</v>
      </c>
      <c r="C445" s="2" t="s">
        <v>17</v>
      </c>
      <c r="D445" s="2" t="s">
        <v>18</v>
      </c>
      <c r="E445" s="2">
        <v>2021</v>
      </c>
      <c r="F445" s="2" t="s">
        <v>1796</v>
      </c>
      <c r="G445" s="2" t="s">
        <v>1668</v>
      </c>
      <c r="H445" s="2" t="s">
        <v>1669</v>
      </c>
      <c r="I445" s="1" t="s">
        <v>14</v>
      </c>
      <c r="J445" s="1" t="s">
        <v>2324</v>
      </c>
      <c r="L445" s="53">
        <v>0.27400000000000002</v>
      </c>
      <c r="M445" s="39"/>
      <c r="N445" s="39"/>
      <c r="O445" s="39">
        <v>786.34</v>
      </c>
      <c r="P445" s="39"/>
      <c r="Q445" s="39"/>
      <c r="R445" s="39"/>
      <c r="S445" s="39"/>
      <c r="T445" s="39">
        <v>699.41399999999999</v>
      </c>
      <c r="U445" s="39"/>
      <c r="V445" s="39"/>
      <c r="W445" s="60"/>
    </row>
    <row r="446" spans="1:23" ht="38.25" x14ac:dyDescent="0.2">
      <c r="A446" s="1" t="s">
        <v>15</v>
      </c>
      <c r="B446" s="2" t="s">
        <v>16</v>
      </c>
      <c r="C446" s="2" t="s">
        <v>17</v>
      </c>
      <c r="D446" s="2" t="s">
        <v>18</v>
      </c>
      <c r="E446" s="2">
        <v>2021</v>
      </c>
      <c r="F446" s="2" t="s">
        <v>1798</v>
      </c>
      <c r="G446" s="2" t="s">
        <v>1668</v>
      </c>
      <c r="H446" s="2" t="s">
        <v>1669</v>
      </c>
      <c r="I446" s="1" t="s">
        <v>14</v>
      </c>
      <c r="J446" s="1" t="s">
        <v>2325</v>
      </c>
      <c r="L446" s="53">
        <v>0.27800000000000002</v>
      </c>
      <c r="M446" s="39"/>
      <c r="N446" s="39"/>
      <c r="O446" s="39">
        <v>187.376</v>
      </c>
      <c r="P446" s="39"/>
      <c r="Q446" s="39"/>
      <c r="R446" s="39"/>
      <c r="S446" s="39"/>
      <c r="T446" s="39">
        <v>734.48900000000003</v>
      </c>
      <c r="U446" s="39"/>
      <c r="V446" s="39"/>
      <c r="W446" s="60"/>
    </row>
    <row r="447" spans="1:23" ht="331.5" x14ac:dyDescent="0.2">
      <c r="A447" s="1" t="s">
        <v>2326</v>
      </c>
      <c r="B447" s="2" t="s">
        <v>196</v>
      </c>
      <c r="C447" s="2" t="s">
        <v>36</v>
      </c>
      <c r="D447" s="2" t="s">
        <v>36</v>
      </c>
      <c r="E447" s="2">
        <v>2021</v>
      </c>
      <c r="F447" s="2" t="s">
        <v>1794</v>
      </c>
      <c r="G447" s="2" t="s">
        <v>1669</v>
      </c>
      <c r="H447" s="2" t="s">
        <v>1669</v>
      </c>
      <c r="I447" s="1" t="s">
        <v>2327</v>
      </c>
      <c r="J447" s="1" t="s">
        <v>2328</v>
      </c>
      <c r="L447" s="53">
        <v>3.8399999999999997E-2</v>
      </c>
      <c r="M447" s="39"/>
      <c r="N447" s="39"/>
      <c r="O447" s="39">
        <v>1291</v>
      </c>
      <c r="P447" s="39"/>
      <c r="Q447" s="39"/>
      <c r="R447" s="39"/>
      <c r="S447" s="39"/>
      <c r="T447" s="39"/>
      <c r="U447" s="39"/>
      <c r="V447" s="39"/>
      <c r="W447" s="60" t="s">
        <v>1699</v>
      </c>
    </row>
    <row r="448" spans="1:23" ht="76.5" x14ac:dyDescent="0.2">
      <c r="A448" s="1" t="s">
        <v>2329</v>
      </c>
      <c r="B448" s="2" t="s">
        <v>196</v>
      </c>
      <c r="C448" s="2" t="s">
        <v>2330</v>
      </c>
      <c r="D448" s="2" t="s">
        <v>314</v>
      </c>
      <c r="E448" s="2">
        <v>2021</v>
      </c>
      <c r="F448" s="2" t="s">
        <v>1791</v>
      </c>
      <c r="G448" s="2" t="s">
        <v>1669</v>
      </c>
      <c r="H448" s="2" t="s">
        <v>1669</v>
      </c>
      <c r="I448" s="1" t="s">
        <v>2331</v>
      </c>
      <c r="J448" s="1" t="s">
        <v>2332</v>
      </c>
      <c r="L448" s="53">
        <v>3.0300000000000001E-2</v>
      </c>
      <c r="M448" s="39"/>
      <c r="N448" s="39"/>
      <c r="O448" s="39">
        <v>2401</v>
      </c>
      <c r="P448" s="39"/>
      <c r="Q448" s="39"/>
      <c r="R448" s="39"/>
      <c r="S448" s="39"/>
      <c r="T448" s="39"/>
      <c r="U448" s="39"/>
      <c r="V448" s="39"/>
      <c r="W448" s="60" t="s">
        <v>2333</v>
      </c>
    </row>
    <row r="449" spans="1:23" ht="25.5" x14ac:dyDescent="0.2">
      <c r="A449" s="1" t="s">
        <v>171</v>
      </c>
      <c r="B449" s="2" t="s">
        <v>48</v>
      </c>
      <c r="C449" s="2" t="s">
        <v>172</v>
      </c>
      <c r="D449" s="2" t="s">
        <v>173</v>
      </c>
      <c r="E449" s="2">
        <v>2021</v>
      </c>
      <c r="F449" s="2" t="s">
        <v>1776</v>
      </c>
      <c r="G449" s="2" t="s">
        <v>1667</v>
      </c>
      <c r="H449" s="2" t="s">
        <v>1669</v>
      </c>
      <c r="I449" s="1" t="s">
        <v>14</v>
      </c>
      <c r="J449" s="1" t="s">
        <v>2334</v>
      </c>
      <c r="L449" s="53">
        <v>0.1588</v>
      </c>
      <c r="M449" s="39"/>
      <c r="N449" s="39"/>
      <c r="O449" s="39">
        <v>265.55</v>
      </c>
      <c r="P449" s="39"/>
      <c r="Q449" s="39"/>
      <c r="R449" s="39"/>
      <c r="S449" s="39"/>
      <c r="T449" s="39"/>
      <c r="U449" s="39"/>
      <c r="V449" s="39"/>
      <c r="W449" s="60" t="s">
        <v>1681</v>
      </c>
    </row>
    <row r="450" spans="1:23" ht="25.5" x14ac:dyDescent="0.2">
      <c r="A450" s="1" t="s">
        <v>171</v>
      </c>
      <c r="B450" s="2" t="s">
        <v>48</v>
      </c>
      <c r="C450" s="2" t="s">
        <v>172</v>
      </c>
      <c r="D450" s="2" t="s">
        <v>173</v>
      </c>
      <c r="E450" s="2">
        <v>2021</v>
      </c>
      <c r="F450" s="2" t="s">
        <v>1779</v>
      </c>
      <c r="G450" s="2" t="s">
        <v>1667</v>
      </c>
      <c r="H450" s="2" t="s">
        <v>1669</v>
      </c>
      <c r="I450" s="1" t="s">
        <v>14</v>
      </c>
      <c r="J450" s="1" t="s">
        <v>2335</v>
      </c>
      <c r="L450" s="53">
        <v>0.16700000000000001</v>
      </c>
      <c r="M450" s="39"/>
      <c r="N450" s="39"/>
      <c r="O450" s="39">
        <v>197.25</v>
      </c>
      <c r="P450" s="39"/>
      <c r="Q450" s="39"/>
      <c r="R450" s="39"/>
      <c r="S450" s="39"/>
      <c r="T450" s="39"/>
      <c r="U450" s="39"/>
      <c r="V450" s="39"/>
      <c r="W450" s="60" t="s">
        <v>1681</v>
      </c>
    </row>
    <row r="451" spans="1:23" ht="25.5" x14ac:dyDescent="0.2">
      <c r="A451" s="1" t="s">
        <v>171</v>
      </c>
      <c r="B451" s="2" t="s">
        <v>48</v>
      </c>
      <c r="C451" s="2" t="s">
        <v>172</v>
      </c>
      <c r="D451" s="2" t="s">
        <v>173</v>
      </c>
      <c r="E451" s="2">
        <v>2021</v>
      </c>
      <c r="F451" s="2" t="s">
        <v>1781</v>
      </c>
      <c r="G451" s="2" t="s">
        <v>1667</v>
      </c>
      <c r="H451" s="2" t="s">
        <v>1669</v>
      </c>
      <c r="I451" s="1" t="s">
        <v>14</v>
      </c>
      <c r="J451" s="1" t="s">
        <v>2336</v>
      </c>
      <c r="L451" s="53">
        <v>0.183</v>
      </c>
      <c r="M451" s="39"/>
      <c r="N451" s="39"/>
      <c r="O451" s="39">
        <v>235.29</v>
      </c>
      <c r="P451" s="39"/>
      <c r="Q451" s="39"/>
      <c r="R451" s="39"/>
      <c r="S451" s="39"/>
      <c r="T451" s="39"/>
      <c r="U451" s="39"/>
      <c r="V451" s="39"/>
      <c r="W451" s="60" t="s">
        <v>1681</v>
      </c>
    </row>
    <row r="452" spans="1:23" ht="25.5" x14ac:dyDescent="0.2">
      <c r="A452" s="1" t="s">
        <v>171</v>
      </c>
      <c r="B452" s="2" t="s">
        <v>48</v>
      </c>
      <c r="C452" s="2" t="s">
        <v>172</v>
      </c>
      <c r="D452" s="2" t="s">
        <v>173</v>
      </c>
      <c r="E452" s="2">
        <v>2021</v>
      </c>
      <c r="F452" s="2" t="s">
        <v>1783</v>
      </c>
      <c r="G452" s="2" t="s">
        <v>1667</v>
      </c>
      <c r="H452" s="2" t="s">
        <v>1669</v>
      </c>
      <c r="I452" s="1" t="s">
        <v>14</v>
      </c>
      <c r="J452" s="1" t="s">
        <v>2337</v>
      </c>
      <c r="L452" s="53">
        <v>0.186</v>
      </c>
      <c r="M452" s="39"/>
      <c r="N452" s="39"/>
      <c r="O452" s="39">
        <v>250.67</v>
      </c>
      <c r="P452" s="39"/>
      <c r="Q452" s="39"/>
      <c r="R452" s="39"/>
      <c r="S452" s="39"/>
      <c r="T452" s="39"/>
      <c r="U452" s="39"/>
      <c r="V452" s="39"/>
      <c r="W452" s="60" t="s">
        <v>1681</v>
      </c>
    </row>
    <row r="453" spans="1:23" ht="25.5" x14ac:dyDescent="0.2">
      <c r="A453" s="1" t="s">
        <v>171</v>
      </c>
      <c r="B453" s="2" t="s">
        <v>48</v>
      </c>
      <c r="C453" s="2" t="s">
        <v>172</v>
      </c>
      <c r="D453" s="2" t="s">
        <v>173</v>
      </c>
      <c r="E453" s="2">
        <v>2021</v>
      </c>
      <c r="F453" s="2" t="s">
        <v>1785</v>
      </c>
      <c r="G453" s="2" t="s">
        <v>1667</v>
      </c>
      <c r="H453" s="2" t="s">
        <v>1669</v>
      </c>
      <c r="I453" s="1" t="s">
        <v>14</v>
      </c>
      <c r="J453" s="1" t="s">
        <v>2338</v>
      </c>
      <c r="L453" s="53">
        <v>0.18</v>
      </c>
      <c r="M453" s="39"/>
      <c r="N453" s="39"/>
      <c r="O453" s="39">
        <v>346.4</v>
      </c>
      <c r="P453" s="39"/>
      <c r="Q453" s="39"/>
      <c r="R453" s="39"/>
      <c r="S453" s="39"/>
      <c r="T453" s="39"/>
      <c r="U453" s="39"/>
      <c r="V453" s="39"/>
      <c r="W453" s="60" t="s">
        <v>1681</v>
      </c>
    </row>
    <row r="454" spans="1:23" ht="25.5" x14ac:dyDescent="0.2">
      <c r="A454" s="1" t="s">
        <v>171</v>
      </c>
      <c r="B454" s="2" t="s">
        <v>48</v>
      </c>
      <c r="C454" s="2" t="s">
        <v>172</v>
      </c>
      <c r="D454" s="2" t="s">
        <v>173</v>
      </c>
      <c r="E454" s="2">
        <v>2021</v>
      </c>
      <c r="F454" s="2" t="s">
        <v>1787</v>
      </c>
      <c r="G454" s="2" t="s">
        <v>1667</v>
      </c>
      <c r="H454" s="2" t="s">
        <v>1669</v>
      </c>
      <c r="I454" s="1" t="s">
        <v>14</v>
      </c>
      <c r="J454" s="1" t="s">
        <v>2339</v>
      </c>
      <c r="L454" s="53">
        <v>0.186</v>
      </c>
      <c r="M454" s="39"/>
      <c r="N454" s="39"/>
      <c r="O454" s="39">
        <v>300.39999999999998</v>
      </c>
      <c r="P454" s="39"/>
      <c r="Q454" s="39"/>
      <c r="R454" s="39"/>
      <c r="S454" s="39"/>
      <c r="T454" s="39"/>
      <c r="U454" s="39"/>
      <c r="V454" s="39"/>
      <c r="W454" s="60" t="s">
        <v>1681</v>
      </c>
    </row>
    <row r="455" spans="1:23" ht="25.5" x14ac:dyDescent="0.2">
      <c r="A455" s="1" t="s">
        <v>171</v>
      </c>
      <c r="B455" s="2" t="s">
        <v>48</v>
      </c>
      <c r="C455" s="2" t="s">
        <v>172</v>
      </c>
      <c r="D455" s="2" t="s">
        <v>173</v>
      </c>
      <c r="E455" s="2">
        <v>2021</v>
      </c>
      <c r="F455" s="2" t="s">
        <v>1789</v>
      </c>
      <c r="G455" s="2" t="s">
        <v>1667</v>
      </c>
      <c r="H455" s="2" t="s">
        <v>1669</v>
      </c>
      <c r="I455" s="1" t="s">
        <v>14</v>
      </c>
      <c r="J455" s="1" t="s">
        <v>2340</v>
      </c>
      <c r="L455" s="53">
        <v>0.17899999999999999</v>
      </c>
      <c r="M455" s="39"/>
      <c r="N455" s="39"/>
      <c r="O455" s="39">
        <v>249.75</v>
      </c>
      <c r="P455" s="39"/>
      <c r="Q455" s="39"/>
      <c r="R455" s="39"/>
      <c r="S455" s="39"/>
      <c r="T455" s="39"/>
      <c r="U455" s="39"/>
      <c r="V455" s="39"/>
      <c r="W455" s="60" t="s">
        <v>1681</v>
      </c>
    </row>
    <row r="456" spans="1:23" ht="25.5" x14ac:dyDescent="0.2">
      <c r="A456" s="1" t="s">
        <v>171</v>
      </c>
      <c r="B456" s="2" t="s">
        <v>48</v>
      </c>
      <c r="C456" s="2" t="s">
        <v>172</v>
      </c>
      <c r="D456" s="2" t="s">
        <v>173</v>
      </c>
      <c r="E456" s="2">
        <v>2021</v>
      </c>
      <c r="F456" s="2" t="s">
        <v>1791</v>
      </c>
      <c r="G456" s="2" t="s">
        <v>1667</v>
      </c>
      <c r="H456" s="2" t="s">
        <v>1669</v>
      </c>
      <c r="I456" s="1" t="s">
        <v>14</v>
      </c>
      <c r="J456" s="1" t="s">
        <v>2341</v>
      </c>
      <c r="L456" s="53">
        <v>0.17799999999999999</v>
      </c>
      <c r="M456" s="39"/>
      <c r="N456" s="39"/>
      <c r="O456" s="39">
        <v>243.79</v>
      </c>
      <c r="P456" s="39"/>
      <c r="Q456" s="39"/>
      <c r="R456" s="39"/>
      <c r="S456" s="39"/>
      <c r="T456" s="39"/>
      <c r="U456" s="39"/>
      <c r="V456" s="39"/>
      <c r="W456" s="60" t="s">
        <v>1681</v>
      </c>
    </row>
    <row r="457" spans="1:23" ht="25.5" x14ac:dyDescent="0.2">
      <c r="A457" s="1" t="s">
        <v>171</v>
      </c>
      <c r="B457" s="2" t="s">
        <v>48</v>
      </c>
      <c r="C457" s="2" t="s">
        <v>172</v>
      </c>
      <c r="D457" s="2" t="s">
        <v>173</v>
      </c>
      <c r="E457" s="2">
        <v>2021</v>
      </c>
      <c r="F457" s="2" t="s">
        <v>311</v>
      </c>
      <c r="G457" s="2" t="s">
        <v>1667</v>
      </c>
      <c r="H457" s="2" t="s">
        <v>1669</v>
      </c>
      <c r="I457" s="1" t="s">
        <v>14</v>
      </c>
      <c r="J457" s="1" t="s">
        <v>2342</v>
      </c>
      <c r="L457" s="53">
        <v>0.1852</v>
      </c>
      <c r="M457" s="39"/>
      <c r="N457" s="39"/>
      <c r="O457" s="39">
        <v>219.03</v>
      </c>
      <c r="P457" s="39"/>
      <c r="Q457" s="39"/>
      <c r="R457" s="39"/>
      <c r="S457" s="39"/>
      <c r="T457" s="39"/>
      <c r="U457" s="39"/>
      <c r="V457" s="39"/>
      <c r="W457" s="60" t="s">
        <v>1681</v>
      </c>
    </row>
    <row r="458" spans="1:23" ht="25.5" x14ac:dyDescent="0.2">
      <c r="A458" s="1" t="s">
        <v>171</v>
      </c>
      <c r="B458" s="2" t="s">
        <v>48</v>
      </c>
      <c r="C458" s="2" t="s">
        <v>172</v>
      </c>
      <c r="D458" s="2" t="s">
        <v>173</v>
      </c>
      <c r="E458" s="2">
        <v>2021</v>
      </c>
      <c r="F458" s="2" t="s">
        <v>1794</v>
      </c>
      <c r="G458" s="2" t="s">
        <v>1667</v>
      </c>
      <c r="H458" s="2" t="s">
        <v>1669</v>
      </c>
      <c r="I458" s="1" t="s">
        <v>14</v>
      </c>
      <c r="J458" s="1" t="s">
        <v>2343</v>
      </c>
      <c r="L458" s="53">
        <v>0.183</v>
      </c>
      <c r="M458" s="39"/>
      <c r="N458" s="39"/>
      <c r="O458" s="39">
        <v>228.11</v>
      </c>
      <c r="P458" s="39"/>
      <c r="Q458" s="39"/>
      <c r="R458" s="39"/>
      <c r="S458" s="39"/>
      <c r="T458" s="39"/>
      <c r="U458" s="39"/>
      <c r="V458" s="39"/>
      <c r="W458" s="60" t="s">
        <v>1681</v>
      </c>
    </row>
    <row r="459" spans="1:23" ht="25.5" x14ac:dyDescent="0.2">
      <c r="A459" s="1" t="s">
        <v>171</v>
      </c>
      <c r="B459" s="2" t="s">
        <v>48</v>
      </c>
      <c r="C459" s="2" t="s">
        <v>172</v>
      </c>
      <c r="D459" s="2" t="s">
        <v>173</v>
      </c>
      <c r="E459" s="2">
        <v>2021</v>
      </c>
      <c r="F459" s="2" t="s">
        <v>1796</v>
      </c>
      <c r="G459" s="2" t="s">
        <v>1667</v>
      </c>
      <c r="H459" s="2" t="s">
        <v>1669</v>
      </c>
      <c r="I459" s="1" t="s">
        <v>14</v>
      </c>
      <c r="J459" s="1" t="s">
        <v>2344</v>
      </c>
      <c r="L459" s="53">
        <v>0.18099999999999999</v>
      </c>
      <c r="M459" s="39"/>
      <c r="N459" s="39"/>
      <c r="O459" s="39">
        <v>218.47</v>
      </c>
      <c r="P459" s="39"/>
      <c r="Q459" s="39"/>
      <c r="R459" s="39"/>
      <c r="S459" s="39"/>
      <c r="T459" s="39"/>
      <c r="U459" s="39"/>
      <c r="V459" s="39"/>
      <c r="W459" s="60" t="s">
        <v>1681</v>
      </c>
    </row>
    <row r="460" spans="1:23" ht="25.5" x14ac:dyDescent="0.2">
      <c r="A460" s="1" t="s">
        <v>171</v>
      </c>
      <c r="B460" s="2" t="s">
        <v>48</v>
      </c>
      <c r="C460" s="2" t="s">
        <v>172</v>
      </c>
      <c r="D460" s="2" t="s">
        <v>173</v>
      </c>
      <c r="E460" s="2">
        <v>2021</v>
      </c>
      <c r="F460" s="2" t="s">
        <v>1798</v>
      </c>
      <c r="G460" s="2" t="s">
        <v>1667</v>
      </c>
      <c r="H460" s="2" t="s">
        <v>1669</v>
      </c>
      <c r="I460" s="1" t="s">
        <v>14</v>
      </c>
      <c r="J460" s="1" t="s">
        <v>2345</v>
      </c>
      <c r="L460" s="53">
        <v>0.17799999999999999</v>
      </c>
      <c r="M460" s="39"/>
      <c r="N460" s="39"/>
      <c r="O460" s="39">
        <v>202.13</v>
      </c>
      <c r="P460" s="39"/>
      <c r="Q460" s="39"/>
      <c r="R460" s="39"/>
      <c r="S460" s="39"/>
      <c r="T460" s="39"/>
      <c r="U460" s="39"/>
      <c r="V460" s="39"/>
      <c r="W460" s="60" t="s">
        <v>1681</v>
      </c>
    </row>
    <row r="461" spans="1:23" ht="89.25" x14ac:dyDescent="0.2">
      <c r="A461" s="1" t="s">
        <v>420</v>
      </c>
      <c r="B461" s="2" t="s">
        <v>196</v>
      </c>
      <c r="C461" s="2" t="s">
        <v>172</v>
      </c>
      <c r="D461" s="2" t="s">
        <v>173</v>
      </c>
      <c r="E461" s="2">
        <v>2021</v>
      </c>
      <c r="F461" s="2" t="s">
        <v>1794</v>
      </c>
      <c r="G461" s="2" t="s">
        <v>1669</v>
      </c>
      <c r="H461" s="2" t="s">
        <v>1668</v>
      </c>
      <c r="I461" s="1" t="s">
        <v>2346</v>
      </c>
      <c r="J461" s="1" t="s">
        <v>14</v>
      </c>
      <c r="L461" s="53"/>
      <c r="M461" s="39"/>
      <c r="N461" s="39"/>
      <c r="O461" s="39"/>
      <c r="P461" s="39"/>
      <c r="Q461" s="39"/>
      <c r="R461" s="39"/>
      <c r="S461" s="39"/>
      <c r="T461" s="39"/>
      <c r="U461" s="39"/>
      <c r="V461" s="39"/>
      <c r="W461" s="60" t="s">
        <v>1706</v>
      </c>
    </row>
    <row r="462" spans="1:23" ht="51" x14ac:dyDescent="0.2">
      <c r="A462" s="1" t="s">
        <v>113</v>
      </c>
      <c r="B462" s="2" t="s">
        <v>38</v>
      </c>
      <c r="C462" s="2" t="s">
        <v>114</v>
      </c>
      <c r="D462" s="2" t="s">
        <v>115</v>
      </c>
      <c r="E462" s="2">
        <v>2021</v>
      </c>
      <c r="F462" s="2" t="s">
        <v>1776</v>
      </c>
      <c r="G462" s="2" t="s">
        <v>1667</v>
      </c>
      <c r="H462" s="2" t="s">
        <v>1669</v>
      </c>
      <c r="I462" s="1" t="s">
        <v>14</v>
      </c>
      <c r="J462" s="1" t="s">
        <v>2347</v>
      </c>
      <c r="L462" s="53">
        <v>0.16800000000000001</v>
      </c>
      <c r="M462" s="39"/>
      <c r="N462" s="39"/>
      <c r="O462" s="39">
        <v>111.14</v>
      </c>
      <c r="P462" s="39"/>
      <c r="Q462" s="39"/>
      <c r="R462" s="39"/>
      <c r="S462" s="39"/>
      <c r="T462" s="39"/>
      <c r="U462" s="39"/>
      <c r="V462" s="39"/>
      <c r="W462" s="60"/>
    </row>
    <row r="463" spans="1:23" ht="51" x14ac:dyDescent="0.2">
      <c r="A463" s="1" t="s">
        <v>113</v>
      </c>
      <c r="B463" s="2" t="s">
        <v>38</v>
      </c>
      <c r="C463" s="2" t="s">
        <v>114</v>
      </c>
      <c r="D463" s="2" t="s">
        <v>115</v>
      </c>
      <c r="E463" s="2">
        <v>2021</v>
      </c>
      <c r="F463" s="2" t="s">
        <v>1779</v>
      </c>
      <c r="G463" s="2" t="s">
        <v>1667</v>
      </c>
      <c r="H463" s="2" t="s">
        <v>1669</v>
      </c>
      <c r="I463" s="1" t="s">
        <v>14</v>
      </c>
      <c r="J463" s="1" t="s">
        <v>2348</v>
      </c>
      <c r="L463" s="53">
        <v>0.16739999999999999</v>
      </c>
      <c r="M463" s="39"/>
      <c r="N463" s="39"/>
      <c r="O463" s="39">
        <v>84.78</v>
      </c>
      <c r="P463" s="39"/>
      <c r="Q463" s="39"/>
      <c r="R463" s="39"/>
      <c r="S463" s="39"/>
      <c r="T463" s="39"/>
      <c r="U463" s="39"/>
      <c r="V463" s="39"/>
      <c r="W463" s="60"/>
    </row>
    <row r="464" spans="1:23" ht="51" x14ac:dyDescent="0.2">
      <c r="A464" s="1" t="s">
        <v>113</v>
      </c>
      <c r="B464" s="2" t="s">
        <v>38</v>
      </c>
      <c r="C464" s="2" t="s">
        <v>114</v>
      </c>
      <c r="D464" s="2" t="s">
        <v>115</v>
      </c>
      <c r="E464" s="2">
        <v>2021</v>
      </c>
      <c r="F464" s="2" t="s">
        <v>1781</v>
      </c>
      <c r="G464" s="2" t="s">
        <v>1667</v>
      </c>
      <c r="H464" s="2" t="s">
        <v>1669</v>
      </c>
      <c r="I464" s="1" t="s">
        <v>14</v>
      </c>
      <c r="J464" s="1" t="s">
        <v>2349</v>
      </c>
      <c r="L464" s="53">
        <v>0.1706</v>
      </c>
      <c r="M464" s="39"/>
      <c r="N464" s="39"/>
      <c r="O464" s="39">
        <v>90.55</v>
      </c>
      <c r="P464" s="39"/>
      <c r="Q464" s="39"/>
      <c r="R464" s="39"/>
      <c r="S464" s="39"/>
      <c r="T464" s="39"/>
      <c r="U464" s="39"/>
      <c r="V464" s="39"/>
      <c r="W464" s="60"/>
    </row>
    <row r="465" spans="1:23" ht="51" x14ac:dyDescent="0.2">
      <c r="A465" s="1" t="s">
        <v>113</v>
      </c>
      <c r="B465" s="2" t="s">
        <v>38</v>
      </c>
      <c r="C465" s="2" t="s">
        <v>114</v>
      </c>
      <c r="D465" s="2" t="s">
        <v>115</v>
      </c>
      <c r="E465" s="2">
        <v>2021</v>
      </c>
      <c r="F465" s="2" t="s">
        <v>1783</v>
      </c>
      <c r="G465" s="2" t="s">
        <v>1667</v>
      </c>
      <c r="H465" s="2" t="s">
        <v>1669</v>
      </c>
      <c r="I465" s="1" t="s">
        <v>14</v>
      </c>
      <c r="J465" s="1" t="s">
        <v>2350</v>
      </c>
      <c r="L465" s="53">
        <v>0.17199999999999999</v>
      </c>
      <c r="M465" s="39"/>
      <c r="N465" s="39"/>
      <c r="O465" s="39">
        <v>102.86</v>
      </c>
      <c r="P465" s="39"/>
      <c r="Q465" s="39"/>
      <c r="R465" s="39"/>
      <c r="S465" s="39"/>
      <c r="T465" s="39"/>
      <c r="U465" s="39"/>
      <c r="V465" s="39"/>
      <c r="W465" s="60"/>
    </row>
    <row r="466" spans="1:23" ht="51" x14ac:dyDescent="0.2">
      <c r="A466" s="1" t="s">
        <v>113</v>
      </c>
      <c r="B466" s="2" t="s">
        <v>38</v>
      </c>
      <c r="C466" s="2" t="s">
        <v>114</v>
      </c>
      <c r="D466" s="2" t="s">
        <v>115</v>
      </c>
      <c r="E466" s="2">
        <v>2021</v>
      </c>
      <c r="F466" s="2" t="s">
        <v>1785</v>
      </c>
      <c r="G466" s="2" t="s">
        <v>1667</v>
      </c>
      <c r="H466" s="2" t="s">
        <v>1669</v>
      </c>
      <c r="I466" s="1" t="s">
        <v>14</v>
      </c>
      <c r="J466" s="1" t="s">
        <v>2351</v>
      </c>
      <c r="L466" s="53">
        <v>0.1764</v>
      </c>
      <c r="M466" s="39"/>
      <c r="N466" s="39"/>
      <c r="O466" s="39">
        <v>91.13</v>
      </c>
      <c r="P466" s="39"/>
      <c r="Q466" s="39"/>
      <c r="R466" s="39"/>
      <c r="S466" s="39"/>
      <c r="T466" s="39"/>
      <c r="U466" s="39"/>
      <c r="V466" s="39"/>
      <c r="W466" s="60"/>
    </row>
    <row r="467" spans="1:23" ht="51" x14ac:dyDescent="0.2">
      <c r="A467" s="1" t="s">
        <v>113</v>
      </c>
      <c r="B467" s="2" t="s">
        <v>38</v>
      </c>
      <c r="C467" s="2" t="s">
        <v>114</v>
      </c>
      <c r="D467" s="2" t="s">
        <v>115</v>
      </c>
      <c r="E467" s="2">
        <v>2021</v>
      </c>
      <c r="F467" s="2" t="s">
        <v>1787</v>
      </c>
      <c r="G467" s="2" t="s">
        <v>1667</v>
      </c>
      <c r="H467" s="2" t="s">
        <v>1669</v>
      </c>
      <c r="I467" s="1" t="s">
        <v>14</v>
      </c>
      <c r="J467" s="1" t="s">
        <v>2352</v>
      </c>
      <c r="L467" s="53">
        <v>0.17799999999999999</v>
      </c>
      <c r="M467" s="39"/>
      <c r="N467" s="39"/>
      <c r="O467" s="39">
        <v>79.08</v>
      </c>
      <c r="P467" s="39"/>
      <c r="Q467" s="39"/>
      <c r="R467" s="39"/>
      <c r="S467" s="39"/>
      <c r="T467" s="39"/>
      <c r="U467" s="39"/>
      <c r="V467" s="39"/>
      <c r="W467" s="60"/>
    </row>
    <row r="468" spans="1:23" ht="89.25" x14ac:dyDescent="0.2">
      <c r="A468" s="1" t="s">
        <v>113</v>
      </c>
      <c r="B468" s="2" t="s">
        <v>38</v>
      </c>
      <c r="C468" s="2" t="s">
        <v>114</v>
      </c>
      <c r="D468" s="2" t="s">
        <v>115</v>
      </c>
      <c r="E468" s="2">
        <v>2021</v>
      </c>
      <c r="F468" s="2" t="s">
        <v>1789</v>
      </c>
      <c r="G468" s="2" t="s">
        <v>1667</v>
      </c>
      <c r="H468" s="2" t="s">
        <v>1669</v>
      </c>
      <c r="I468" s="1" t="s">
        <v>14</v>
      </c>
      <c r="J468" s="1" t="s">
        <v>2353</v>
      </c>
      <c r="L468" s="53">
        <v>0.17699999999999999</v>
      </c>
      <c r="M468" s="39"/>
      <c r="N468" s="39"/>
      <c r="O468" s="39">
        <v>102.8</v>
      </c>
      <c r="P468" s="39"/>
      <c r="Q468" s="39"/>
      <c r="R468" s="39"/>
      <c r="S468" s="39"/>
      <c r="T468" s="39"/>
      <c r="U468" s="39"/>
      <c r="V468" s="39"/>
      <c r="W468" s="60"/>
    </row>
    <row r="469" spans="1:23" ht="51" x14ac:dyDescent="0.2">
      <c r="A469" s="1" t="s">
        <v>113</v>
      </c>
      <c r="B469" s="2" t="s">
        <v>38</v>
      </c>
      <c r="C469" s="2" t="s">
        <v>114</v>
      </c>
      <c r="D469" s="2" t="s">
        <v>115</v>
      </c>
      <c r="E469" s="2">
        <v>2021</v>
      </c>
      <c r="F469" s="2" t="s">
        <v>1791</v>
      </c>
      <c r="G469" s="2" t="s">
        <v>1667</v>
      </c>
      <c r="H469" s="2" t="s">
        <v>1669</v>
      </c>
      <c r="I469" s="1" t="s">
        <v>14</v>
      </c>
      <c r="J469" s="1" t="s">
        <v>2354</v>
      </c>
      <c r="L469" s="53">
        <v>0.17100000000000001</v>
      </c>
      <c r="M469" s="39"/>
      <c r="N469" s="39"/>
      <c r="O469" s="39">
        <v>103.75</v>
      </c>
      <c r="P469" s="39"/>
      <c r="Q469" s="39"/>
      <c r="R469" s="39"/>
      <c r="S469" s="39"/>
      <c r="T469" s="39"/>
      <c r="U469" s="39"/>
      <c r="V469" s="39"/>
      <c r="W469" s="60"/>
    </row>
    <row r="470" spans="1:23" ht="63.75" x14ac:dyDescent="0.2">
      <c r="A470" s="1" t="s">
        <v>113</v>
      </c>
      <c r="B470" s="2" t="s">
        <v>38</v>
      </c>
      <c r="C470" s="2" t="s">
        <v>114</v>
      </c>
      <c r="D470" s="2" t="s">
        <v>115</v>
      </c>
      <c r="E470" s="2">
        <v>2021</v>
      </c>
      <c r="F470" s="2" t="s">
        <v>311</v>
      </c>
      <c r="G470" s="2" t="s">
        <v>1667</v>
      </c>
      <c r="H470" s="2" t="s">
        <v>1669</v>
      </c>
      <c r="I470" s="1" t="s">
        <v>14</v>
      </c>
      <c r="J470" s="1" t="s">
        <v>2355</v>
      </c>
      <c r="L470" s="53">
        <v>0.17249999999999999</v>
      </c>
      <c r="M470" s="39"/>
      <c r="N470" s="39"/>
      <c r="O470" s="39">
        <v>64.8</v>
      </c>
      <c r="P470" s="39"/>
      <c r="Q470" s="39"/>
      <c r="R470" s="39"/>
      <c r="S470" s="39"/>
      <c r="T470" s="39"/>
      <c r="U470" s="39"/>
      <c r="V470" s="39"/>
      <c r="W470" s="60"/>
    </row>
    <row r="471" spans="1:23" ht="76.5" x14ac:dyDescent="0.2">
      <c r="A471" s="1" t="s">
        <v>113</v>
      </c>
      <c r="B471" s="2" t="s">
        <v>38</v>
      </c>
      <c r="C471" s="2" t="s">
        <v>114</v>
      </c>
      <c r="D471" s="2" t="s">
        <v>115</v>
      </c>
      <c r="E471" s="2">
        <v>2021</v>
      </c>
      <c r="F471" s="2" t="s">
        <v>1794</v>
      </c>
      <c r="G471" s="2" t="s">
        <v>1667</v>
      </c>
      <c r="H471" s="2" t="s">
        <v>1669</v>
      </c>
      <c r="I471" s="1" t="s">
        <v>14</v>
      </c>
      <c r="J471" s="1" t="s">
        <v>2356</v>
      </c>
      <c r="L471" s="53">
        <v>0.17399999999999999</v>
      </c>
      <c r="M471" s="39"/>
      <c r="N471" s="39"/>
      <c r="O471" s="39">
        <v>62.84</v>
      </c>
      <c r="P471" s="39"/>
      <c r="Q471" s="39"/>
      <c r="R471" s="39"/>
      <c r="S471" s="39"/>
      <c r="T471" s="39"/>
      <c r="U471" s="39"/>
      <c r="V471" s="39"/>
      <c r="W471" s="60"/>
    </row>
    <row r="472" spans="1:23" ht="51" x14ac:dyDescent="0.2">
      <c r="A472" s="1" t="s">
        <v>113</v>
      </c>
      <c r="B472" s="2" t="s">
        <v>38</v>
      </c>
      <c r="C472" s="2" t="s">
        <v>114</v>
      </c>
      <c r="D472" s="2" t="s">
        <v>115</v>
      </c>
      <c r="E472" s="2">
        <v>2021</v>
      </c>
      <c r="F472" s="2" t="s">
        <v>1796</v>
      </c>
      <c r="G472" s="2" t="s">
        <v>1667</v>
      </c>
      <c r="H472" s="2" t="s">
        <v>1669</v>
      </c>
      <c r="I472" s="1" t="s">
        <v>14</v>
      </c>
      <c r="J472" s="1" t="s">
        <v>2357</v>
      </c>
      <c r="L472" s="53">
        <v>0.17100000000000001</v>
      </c>
      <c r="M472" s="39"/>
      <c r="N472" s="39"/>
      <c r="O472" s="39">
        <v>76.16</v>
      </c>
      <c r="P472" s="39"/>
      <c r="Q472" s="39"/>
      <c r="R472" s="39"/>
      <c r="S472" s="39"/>
      <c r="T472" s="39"/>
      <c r="U472" s="39"/>
      <c r="V472" s="39"/>
      <c r="W472" s="60"/>
    </row>
    <row r="473" spans="1:23" ht="38.25" x14ac:dyDescent="0.2">
      <c r="A473" s="1" t="s">
        <v>113</v>
      </c>
      <c r="B473" s="2" t="s">
        <v>38</v>
      </c>
      <c r="C473" s="2" t="s">
        <v>114</v>
      </c>
      <c r="D473" s="2" t="s">
        <v>115</v>
      </c>
      <c r="E473" s="2">
        <v>2021</v>
      </c>
      <c r="F473" s="2" t="s">
        <v>1798</v>
      </c>
      <c r="G473" s="2" t="s">
        <v>1667</v>
      </c>
      <c r="H473" s="2" t="s">
        <v>1669</v>
      </c>
      <c r="I473" s="1" t="s">
        <v>14</v>
      </c>
      <c r="J473" s="1" t="s">
        <v>2358</v>
      </c>
      <c r="L473" s="53">
        <v>0.1754</v>
      </c>
      <c r="M473" s="39"/>
      <c r="N473" s="39"/>
      <c r="O473" s="39">
        <v>77.27</v>
      </c>
      <c r="P473" s="39"/>
      <c r="Q473" s="39"/>
      <c r="R473" s="39"/>
      <c r="S473" s="39"/>
      <c r="T473" s="39"/>
      <c r="U473" s="39"/>
      <c r="V473" s="39"/>
      <c r="W473" s="60"/>
    </row>
    <row r="474" spans="1:23" ht="38.25" x14ac:dyDescent="0.2">
      <c r="A474" s="1" t="s">
        <v>2359</v>
      </c>
      <c r="B474" s="2" t="s">
        <v>196</v>
      </c>
      <c r="C474" s="2" t="s">
        <v>197</v>
      </c>
      <c r="D474" s="2" t="s">
        <v>197</v>
      </c>
      <c r="E474" s="2">
        <v>2021</v>
      </c>
      <c r="F474" s="2" t="s">
        <v>311</v>
      </c>
      <c r="G474" s="2" t="s">
        <v>1669</v>
      </c>
      <c r="H474" s="2" t="s">
        <v>1668</v>
      </c>
      <c r="I474" s="1" t="s">
        <v>2360</v>
      </c>
      <c r="J474" s="1" t="s">
        <v>14</v>
      </c>
      <c r="L474" s="33"/>
      <c r="M474" s="15"/>
      <c r="N474" s="15"/>
      <c r="O474" s="15"/>
      <c r="P474" s="15"/>
      <c r="Q474" s="15"/>
      <c r="R474" s="15"/>
      <c r="S474" s="15"/>
      <c r="T474" s="15"/>
      <c r="U474" s="15"/>
      <c r="V474" s="15"/>
      <c r="W474" s="60" t="s">
        <v>1706</v>
      </c>
    </row>
    <row r="475" spans="1:23" ht="51" x14ac:dyDescent="0.2">
      <c r="A475" s="1" t="s">
        <v>2361</v>
      </c>
      <c r="B475" s="2" t="s">
        <v>196</v>
      </c>
      <c r="C475" s="2" t="s">
        <v>2362</v>
      </c>
      <c r="D475" s="2" t="s">
        <v>2363</v>
      </c>
      <c r="E475" s="2">
        <v>2021</v>
      </c>
      <c r="F475" s="2" t="s">
        <v>1785</v>
      </c>
      <c r="G475" s="2" t="s">
        <v>1669</v>
      </c>
      <c r="H475" s="2" t="s">
        <v>1668</v>
      </c>
      <c r="I475" s="1" t="s">
        <v>2364</v>
      </c>
      <c r="J475" s="1" t="s">
        <v>14</v>
      </c>
      <c r="L475" s="53"/>
      <c r="M475" s="39"/>
      <c r="N475" s="39"/>
      <c r="O475" s="39"/>
      <c r="P475" s="39"/>
      <c r="Q475" s="39"/>
      <c r="R475" s="39"/>
      <c r="S475" s="39"/>
      <c r="T475" s="39"/>
      <c r="U475" s="39"/>
      <c r="V475" s="39"/>
      <c r="W475" s="60" t="s">
        <v>1693</v>
      </c>
    </row>
    <row r="476" spans="1:23" ht="38.25" x14ac:dyDescent="0.2">
      <c r="A476" s="1" t="s">
        <v>2361</v>
      </c>
      <c r="B476" s="2" t="s">
        <v>196</v>
      </c>
      <c r="C476" s="2" t="s">
        <v>2362</v>
      </c>
      <c r="D476" s="2" t="s">
        <v>2363</v>
      </c>
      <c r="E476" s="2">
        <v>2021</v>
      </c>
      <c r="F476" s="2" t="s">
        <v>1787</v>
      </c>
      <c r="G476" s="2" t="s">
        <v>1669</v>
      </c>
      <c r="H476" s="2" t="s">
        <v>1668</v>
      </c>
      <c r="I476" s="1" t="s">
        <v>2365</v>
      </c>
      <c r="J476" s="1" t="s">
        <v>14</v>
      </c>
      <c r="L476" s="53"/>
      <c r="M476" s="39"/>
      <c r="N476" s="39"/>
      <c r="O476" s="39"/>
      <c r="P476" s="39"/>
      <c r="Q476" s="39"/>
      <c r="R476" s="39"/>
      <c r="S476" s="39"/>
      <c r="T476" s="39"/>
      <c r="U476" s="39"/>
      <c r="V476" s="39"/>
      <c r="W476" s="60" t="s">
        <v>1693</v>
      </c>
    </row>
    <row r="477" spans="1:23" ht="25.5" x14ac:dyDescent="0.2">
      <c r="A477" s="1" t="s">
        <v>135</v>
      </c>
      <c r="B477" s="2" t="s">
        <v>38</v>
      </c>
      <c r="C477" s="2" t="s">
        <v>136</v>
      </c>
      <c r="D477" s="2" t="s">
        <v>136</v>
      </c>
      <c r="E477" s="2">
        <v>2021</v>
      </c>
      <c r="F477" s="2" t="s">
        <v>1776</v>
      </c>
      <c r="G477" s="2" t="s">
        <v>1667</v>
      </c>
      <c r="H477" s="2" t="s">
        <v>1669</v>
      </c>
      <c r="I477" s="1" t="s">
        <v>14</v>
      </c>
      <c r="J477" s="1" t="s">
        <v>2366</v>
      </c>
      <c r="L477" s="53">
        <v>0.23400000000000001</v>
      </c>
      <c r="M477" s="39"/>
      <c r="N477" s="39"/>
      <c r="O477" s="39">
        <v>360</v>
      </c>
      <c r="P477" s="39"/>
      <c r="Q477" s="39"/>
      <c r="R477" s="3"/>
      <c r="S477" s="39"/>
      <c r="T477" s="39"/>
      <c r="U477" s="39"/>
      <c r="V477" s="39"/>
      <c r="W477" s="60" t="s">
        <v>1681</v>
      </c>
    </row>
    <row r="478" spans="1:23" ht="25.5" x14ac:dyDescent="0.2">
      <c r="A478" s="1" t="s">
        <v>135</v>
      </c>
      <c r="B478" s="2" t="s">
        <v>38</v>
      </c>
      <c r="C478" s="2" t="s">
        <v>136</v>
      </c>
      <c r="D478" s="2" t="s">
        <v>136</v>
      </c>
      <c r="E478" s="2">
        <v>2021</v>
      </c>
      <c r="F478" s="2" t="s">
        <v>1779</v>
      </c>
      <c r="G478" s="2" t="s">
        <v>1667</v>
      </c>
      <c r="H478" s="2" t="s">
        <v>1669</v>
      </c>
      <c r="I478" s="1" t="s">
        <v>14</v>
      </c>
      <c r="J478" s="1" t="s">
        <v>2367</v>
      </c>
      <c r="L478" s="53">
        <v>0.216</v>
      </c>
      <c r="M478" s="39"/>
      <c r="N478" s="39"/>
      <c r="O478" s="39">
        <v>345.7</v>
      </c>
      <c r="P478" s="39"/>
      <c r="Q478" s="39"/>
      <c r="R478" s="3"/>
      <c r="S478" s="39"/>
      <c r="T478" s="39"/>
      <c r="U478" s="39"/>
      <c r="V478" s="39"/>
      <c r="W478" s="60" t="s">
        <v>1681</v>
      </c>
    </row>
    <row r="479" spans="1:23" ht="25.5" x14ac:dyDescent="0.2">
      <c r="A479" s="1" t="s">
        <v>135</v>
      </c>
      <c r="B479" s="2" t="s">
        <v>38</v>
      </c>
      <c r="C479" s="2" t="s">
        <v>136</v>
      </c>
      <c r="D479" s="2" t="s">
        <v>136</v>
      </c>
      <c r="E479" s="2">
        <v>2021</v>
      </c>
      <c r="F479" s="2" t="s">
        <v>1781</v>
      </c>
      <c r="G479" s="2" t="s">
        <v>1667</v>
      </c>
      <c r="H479" s="2" t="s">
        <v>1669</v>
      </c>
      <c r="I479" s="1" t="s">
        <v>14</v>
      </c>
      <c r="J479" s="1" t="s">
        <v>2368</v>
      </c>
      <c r="L479" s="53">
        <v>0.214</v>
      </c>
      <c r="M479" s="39"/>
      <c r="N479" s="39"/>
      <c r="O479" s="39">
        <v>430</v>
      </c>
      <c r="P479" s="39"/>
      <c r="Q479" s="39"/>
      <c r="R479" s="3"/>
      <c r="S479" s="39"/>
      <c r="T479" s="39"/>
      <c r="U479" s="39"/>
      <c r="V479" s="39"/>
      <c r="W479" s="60" t="s">
        <v>1681</v>
      </c>
    </row>
    <row r="480" spans="1:23" ht="25.5" x14ac:dyDescent="0.2">
      <c r="A480" s="1" t="s">
        <v>135</v>
      </c>
      <c r="B480" s="2" t="s">
        <v>38</v>
      </c>
      <c r="C480" s="2" t="s">
        <v>136</v>
      </c>
      <c r="D480" s="2" t="s">
        <v>136</v>
      </c>
      <c r="E480" s="2">
        <v>2021</v>
      </c>
      <c r="F480" s="2" t="s">
        <v>1783</v>
      </c>
      <c r="G480" s="2" t="s">
        <v>1667</v>
      </c>
      <c r="H480" s="2" t="s">
        <v>1669</v>
      </c>
      <c r="I480" s="1" t="s">
        <v>14</v>
      </c>
      <c r="J480" s="1" t="s">
        <v>2369</v>
      </c>
      <c r="L480" s="53">
        <v>0.22600000000000001</v>
      </c>
      <c r="M480" s="39"/>
      <c r="N480" s="39"/>
      <c r="O480" s="39">
        <v>509.5</v>
      </c>
      <c r="P480" s="39"/>
      <c r="Q480" s="39"/>
      <c r="R480" s="3"/>
      <c r="S480" s="39"/>
      <c r="T480" s="39"/>
      <c r="U480" s="39"/>
      <c r="V480" s="39"/>
      <c r="W480" s="60" t="s">
        <v>1681</v>
      </c>
    </row>
    <row r="481" spans="1:23" ht="25.5" x14ac:dyDescent="0.2">
      <c r="A481" s="1" t="s">
        <v>135</v>
      </c>
      <c r="B481" s="2" t="s">
        <v>38</v>
      </c>
      <c r="C481" s="2" t="s">
        <v>136</v>
      </c>
      <c r="D481" s="2" t="s">
        <v>136</v>
      </c>
      <c r="E481" s="2">
        <v>2021</v>
      </c>
      <c r="F481" s="2" t="s">
        <v>1785</v>
      </c>
      <c r="G481" s="2" t="s">
        <v>1667</v>
      </c>
      <c r="H481" s="2" t="s">
        <v>1669</v>
      </c>
      <c r="I481" s="1" t="s">
        <v>14</v>
      </c>
      <c r="J481" s="1" t="s">
        <v>2370</v>
      </c>
      <c r="L481" s="53">
        <v>0.248</v>
      </c>
      <c r="M481" s="39"/>
      <c r="N481" s="39"/>
      <c r="O481" s="39">
        <v>630.6</v>
      </c>
      <c r="P481" s="39"/>
      <c r="Q481" s="39"/>
      <c r="R481" s="3"/>
      <c r="S481" s="39"/>
      <c r="T481" s="39"/>
      <c r="U481" s="39"/>
      <c r="V481" s="39"/>
      <c r="W481" s="60" t="s">
        <v>1681</v>
      </c>
    </row>
    <row r="482" spans="1:23" ht="25.5" x14ac:dyDescent="0.2">
      <c r="A482" s="1" t="s">
        <v>135</v>
      </c>
      <c r="B482" s="2" t="s">
        <v>38</v>
      </c>
      <c r="C482" s="2" t="s">
        <v>136</v>
      </c>
      <c r="D482" s="2" t="s">
        <v>136</v>
      </c>
      <c r="E482" s="2">
        <v>2021</v>
      </c>
      <c r="F482" s="2" t="s">
        <v>1787</v>
      </c>
      <c r="G482" s="2" t="s">
        <v>1667</v>
      </c>
      <c r="H482" s="2" t="s">
        <v>1669</v>
      </c>
      <c r="I482" s="1" t="s">
        <v>14</v>
      </c>
      <c r="J482" s="1" t="s">
        <v>2371</v>
      </c>
      <c r="L482" s="53">
        <v>0.23100000000000001</v>
      </c>
      <c r="M482" s="39"/>
      <c r="N482" s="39"/>
      <c r="O482" s="39">
        <v>604</v>
      </c>
      <c r="P482" s="39"/>
      <c r="Q482" s="39"/>
      <c r="R482" s="3"/>
      <c r="S482" s="39"/>
      <c r="T482" s="39"/>
      <c r="U482" s="39"/>
      <c r="V482" s="39"/>
      <c r="W482" s="60" t="s">
        <v>1681</v>
      </c>
    </row>
    <row r="483" spans="1:23" ht="25.5" x14ac:dyDescent="0.2">
      <c r="A483" s="1" t="s">
        <v>135</v>
      </c>
      <c r="B483" s="2" t="s">
        <v>38</v>
      </c>
      <c r="C483" s="2" t="s">
        <v>136</v>
      </c>
      <c r="D483" s="2" t="s">
        <v>136</v>
      </c>
      <c r="E483" s="2">
        <v>2021</v>
      </c>
      <c r="F483" s="2" t="s">
        <v>1789</v>
      </c>
      <c r="G483" s="2" t="s">
        <v>1667</v>
      </c>
      <c r="H483" s="2" t="s">
        <v>1669</v>
      </c>
      <c r="I483" s="1" t="s">
        <v>14</v>
      </c>
      <c r="J483" s="1" t="s">
        <v>2372</v>
      </c>
      <c r="L483" s="53">
        <v>0.23699999999999999</v>
      </c>
      <c r="M483" s="39"/>
      <c r="N483" s="39"/>
      <c r="O483" s="39">
        <v>531.5</v>
      </c>
      <c r="P483" s="39"/>
      <c r="Q483" s="39"/>
      <c r="R483" s="3"/>
      <c r="S483" s="39"/>
      <c r="T483" s="39"/>
      <c r="U483" s="39"/>
      <c r="V483" s="39"/>
      <c r="W483" s="60" t="s">
        <v>1681</v>
      </c>
    </row>
    <row r="484" spans="1:23" ht="25.5" x14ac:dyDescent="0.2">
      <c r="A484" s="1" t="s">
        <v>135</v>
      </c>
      <c r="B484" s="2" t="s">
        <v>38</v>
      </c>
      <c r="C484" s="2" t="s">
        <v>136</v>
      </c>
      <c r="D484" s="2" t="s">
        <v>136</v>
      </c>
      <c r="E484" s="2">
        <v>2021</v>
      </c>
      <c r="F484" s="2" t="s">
        <v>1791</v>
      </c>
      <c r="G484" s="2" t="s">
        <v>1667</v>
      </c>
      <c r="H484" s="2" t="s">
        <v>1669</v>
      </c>
      <c r="I484" s="1" t="s">
        <v>14</v>
      </c>
      <c r="J484" s="1" t="s">
        <v>2373</v>
      </c>
      <c r="L484" s="53">
        <v>0.26900000000000002</v>
      </c>
      <c r="M484" s="39"/>
      <c r="N484" s="39"/>
      <c r="O484" s="39">
        <v>550.4</v>
      </c>
      <c r="P484" s="39"/>
      <c r="Q484" s="39"/>
      <c r="R484" s="3"/>
      <c r="S484" s="39"/>
      <c r="T484" s="39"/>
      <c r="U484" s="39"/>
      <c r="V484" s="39"/>
      <c r="W484" s="60" t="s">
        <v>1681</v>
      </c>
    </row>
    <row r="485" spans="1:23" ht="25.5" x14ac:dyDescent="0.2">
      <c r="A485" s="1" t="s">
        <v>135</v>
      </c>
      <c r="B485" s="2" t="s">
        <v>38</v>
      </c>
      <c r="C485" s="2" t="s">
        <v>136</v>
      </c>
      <c r="D485" s="2" t="s">
        <v>136</v>
      </c>
      <c r="E485" s="2">
        <v>2021</v>
      </c>
      <c r="F485" s="2" t="s">
        <v>311</v>
      </c>
      <c r="G485" s="2" t="s">
        <v>1667</v>
      </c>
      <c r="H485" s="2" t="s">
        <v>1669</v>
      </c>
      <c r="I485" s="1" t="s">
        <v>14</v>
      </c>
      <c r="J485" s="1" t="s">
        <v>2374</v>
      </c>
      <c r="L485" s="53">
        <v>0.28799999999999998</v>
      </c>
      <c r="M485" s="39"/>
      <c r="N485" s="39"/>
      <c r="O485" s="39">
        <v>538</v>
      </c>
      <c r="P485" s="39"/>
      <c r="Q485" s="39"/>
      <c r="R485" s="3"/>
      <c r="S485" s="39"/>
      <c r="T485" s="39"/>
      <c r="U485" s="39"/>
      <c r="V485" s="39"/>
      <c r="W485" s="60" t="s">
        <v>1681</v>
      </c>
    </row>
    <row r="486" spans="1:23" ht="25.5" x14ac:dyDescent="0.2">
      <c r="A486" s="1" t="s">
        <v>135</v>
      </c>
      <c r="B486" s="2" t="s">
        <v>38</v>
      </c>
      <c r="C486" s="2" t="s">
        <v>136</v>
      </c>
      <c r="D486" s="2" t="s">
        <v>136</v>
      </c>
      <c r="E486" s="2">
        <v>2021</v>
      </c>
      <c r="F486" s="2" t="s">
        <v>1794</v>
      </c>
      <c r="G486" s="2" t="s">
        <v>1667</v>
      </c>
      <c r="H486" s="2" t="s">
        <v>1669</v>
      </c>
      <c r="I486" s="1" t="s">
        <v>14</v>
      </c>
      <c r="J486" s="1" t="s">
        <v>2375</v>
      </c>
      <c r="L486" s="53">
        <v>0.26500000000000001</v>
      </c>
      <c r="M486" s="39"/>
      <c r="N486" s="39"/>
      <c r="O486" s="39">
        <v>641</v>
      </c>
      <c r="P486" s="39"/>
      <c r="Q486" s="39"/>
      <c r="R486" s="3"/>
      <c r="S486" s="39"/>
      <c r="T486" s="39"/>
      <c r="U486" s="39"/>
      <c r="V486" s="39"/>
      <c r="W486" s="60" t="s">
        <v>1681</v>
      </c>
    </row>
    <row r="487" spans="1:23" ht="25.5" x14ac:dyDescent="0.2">
      <c r="A487" s="1" t="s">
        <v>135</v>
      </c>
      <c r="B487" s="2" t="s">
        <v>38</v>
      </c>
      <c r="C487" s="2" t="s">
        <v>136</v>
      </c>
      <c r="D487" s="2" t="s">
        <v>136</v>
      </c>
      <c r="E487" s="2">
        <v>2021</v>
      </c>
      <c r="F487" s="2" t="s">
        <v>1796</v>
      </c>
      <c r="G487" s="2" t="s">
        <v>1667</v>
      </c>
      <c r="H487" s="2" t="s">
        <v>1669</v>
      </c>
      <c r="I487" s="1" t="s">
        <v>14</v>
      </c>
      <c r="J487" s="1" t="s">
        <v>2376</v>
      </c>
      <c r="L487" s="53">
        <v>0.247</v>
      </c>
      <c r="M487" s="39"/>
      <c r="N487" s="39"/>
      <c r="O487" s="39">
        <v>618</v>
      </c>
      <c r="P487" s="39"/>
      <c r="Q487" s="39"/>
      <c r="R487" s="3"/>
      <c r="S487" s="39"/>
      <c r="T487" s="39"/>
      <c r="U487" s="39"/>
      <c r="V487" s="39"/>
      <c r="W487" s="60" t="s">
        <v>1681</v>
      </c>
    </row>
    <row r="488" spans="1:23" ht="25.5" x14ac:dyDescent="0.2">
      <c r="A488" s="1" t="s">
        <v>135</v>
      </c>
      <c r="B488" s="2" t="s">
        <v>38</v>
      </c>
      <c r="C488" s="2" t="s">
        <v>136</v>
      </c>
      <c r="D488" s="2" t="s">
        <v>136</v>
      </c>
      <c r="E488" s="2">
        <v>2021</v>
      </c>
      <c r="F488" s="2" t="s">
        <v>1798</v>
      </c>
      <c r="G488" s="2" t="s">
        <v>1667</v>
      </c>
      <c r="H488" s="2" t="s">
        <v>1669</v>
      </c>
      <c r="I488" s="1" t="s">
        <v>14</v>
      </c>
      <c r="J488" s="1" t="s">
        <v>2377</v>
      </c>
      <c r="L488" s="53">
        <v>0.20899999999999999</v>
      </c>
      <c r="M488" s="39"/>
      <c r="N488" s="39"/>
      <c r="O488" s="39">
        <v>481</v>
      </c>
      <c r="P488" s="39"/>
      <c r="Q488" s="39"/>
      <c r="R488" s="3"/>
      <c r="S488" s="39"/>
      <c r="T488" s="39"/>
      <c r="U488" s="39"/>
      <c r="V488" s="39"/>
      <c r="W488" s="60" t="s">
        <v>1681</v>
      </c>
    </row>
    <row r="489" spans="1:23" ht="25.5" x14ac:dyDescent="0.2">
      <c r="A489" s="1" t="s">
        <v>2378</v>
      </c>
      <c r="B489" s="2" t="s">
        <v>2379</v>
      </c>
      <c r="C489" s="2" t="s">
        <v>136</v>
      </c>
      <c r="D489" s="2" t="s">
        <v>136</v>
      </c>
      <c r="E489" s="2">
        <v>2021</v>
      </c>
      <c r="F489" s="2" t="s">
        <v>311</v>
      </c>
      <c r="G489" s="2" t="s">
        <v>1668</v>
      </c>
      <c r="H489" s="2" t="s">
        <v>1669</v>
      </c>
      <c r="I489" s="1" t="s">
        <v>14</v>
      </c>
      <c r="J489" s="1" t="s">
        <v>2380</v>
      </c>
      <c r="L489" s="53">
        <v>0.308</v>
      </c>
      <c r="M489" s="39"/>
      <c r="N489" s="39"/>
      <c r="O489" s="39">
        <v>240.07</v>
      </c>
      <c r="P489" s="39"/>
      <c r="Q489" s="39"/>
      <c r="R489" s="39"/>
      <c r="S489" s="39"/>
      <c r="T489" s="39"/>
      <c r="U489" s="39"/>
      <c r="V489" s="39"/>
      <c r="W489" s="60"/>
    </row>
    <row r="490" spans="1:23" ht="25.5" x14ac:dyDescent="0.2">
      <c r="A490" s="1" t="s">
        <v>2381</v>
      </c>
      <c r="B490" s="2" t="s">
        <v>198</v>
      </c>
      <c r="C490" s="2" t="s">
        <v>136</v>
      </c>
      <c r="D490" s="2" t="s">
        <v>136</v>
      </c>
      <c r="E490" s="2">
        <v>2021</v>
      </c>
      <c r="F490" s="2" t="s">
        <v>311</v>
      </c>
      <c r="G490" s="2" t="s">
        <v>1669</v>
      </c>
      <c r="H490" s="2" t="s">
        <v>1669</v>
      </c>
      <c r="I490" s="1" t="s">
        <v>2382</v>
      </c>
      <c r="J490" s="1" t="s">
        <v>2383</v>
      </c>
      <c r="L490" s="53">
        <v>3.4599999999999999E-2</v>
      </c>
      <c r="M490" s="39"/>
      <c r="N490" s="39"/>
      <c r="O490" s="39">
        <v>1194.0999999999999</v>
      </c>
      <c r="P490" s="39"/>
      <c r="Q490" s="39"/>
      <c r="R490" s="39"/>
      <c r="S490" s="39"/>
      <c r="T490" s="39"/>
      <c r="U490" s="39"/>
      <c r="V490" s="39"/>
      <c r="W490" s="60" t="s">
        <v>1699</v>
      </c>
    </row>
    <row r="491" spans="1:23" ht="38.25" x14ac:dyDescent="0.2">
      <c r="A491" s="1" t="s">
        <v>2384</v>
      </c>
      <c r="B491" s="2" t="s">
        <v>196</v>
      </c>
      <c r="C491" s="2" t="s">
        <v>136</v>
      </c>
      <c r="D491" s="2" t="s">
        <v>136</v>
      </c>
      <c r="E491" s="2">
        <v>2021</v>
      </c>
      <c r="F491" s="2" t="s">
        <v>311</v>
      </c>
      <c r="G491" s="2" t="s">
        <v>1669</v>
      </c>
      <c r="H491" s="2" t="s">
        <v>1669</v>
      </c>
      <c r="I491" s="1" t="s">
        <v>2385</v>
      </c>
      <c r="J491" s="1" t="s">
        <v>2386</v>
      </c>
      <c r="L491" s="53">
        <v>0.24299999999999999</v>
      </c>
      <c r="M491" s="39"/>
      <c r="N491" s="39"/>
      <c r="O491" s="39">
        <v>877.03</v>
      </c>
      <c r="P491" s="39"/>
      <c r="Q491" s="39"/>
      <c r="R491" s="39"/>
      <c r="S491" s="39"/>
      <c r="T491" s="39"/>
      <c r="U491" s="39"/>
      <c r="V491" s="39"/>
      <c r="W491" s="60"/>
    </row>
    <row r="492" spans="1:23" ht="76.5" x14ac:dyDescent="0.2">
      <c r="A492" s="1" t="s">
        <v>329</v>
      </c>
      <c r="B492" s="2" t="s">
        <v>196</v>
      </c>
      <c r="C492" s="2" t="s">
        <v>330</v>
      </c>
      <c r="D492" s="2" t="s">
        <v>328</v>
      </c>
      <c r="E492" s="2">
        <v>2021</v>
      </c>
      <c r="F492" s="2" t="s">
        <v>1796</v>
      </c>
      <c r="G492" s="2" t="s">
        <v>1668</v>
      </c>
      <c r="H492" s="2" t="s">
        <v>1669</v>
      </c>
      <c r="I492" s="1" t="s">
        <v>14</v>
      </c>
      <c r="J492" s="1" t="s">
        <v>2387</v>
      </c>
      <c r="L492" s="53">
        <v>0.24</v>
      </c>
      <c r="M492" s="39"/>
      <c r="N492" s="39"/>
      <c r="O492" s="39">
        <v>498</v>
      </c>
      <c r="P492" s="39"/>
      <c r="Q492" s="39"/>
      <c r="R492" s="39"/>
      <c r="S492" s="39"/>
      <c r="T492" s="39"/>
      <c r="U492" s="39"/>
      <c r="V492" s="39"/>
      <c r="W492" s="60"/>
    </row>
    <row r="493" spans="1:23" ht="25.5" x14ac:dyDescent="0.2">
      <c r="A493" s="1" t="s">
        <v>25</v>
      </c>
      <c r="B493" s="2" t="s">
        <v>16</v>
      </c>
      <c r="C493" s="2" t="s">
        <v>26</v>
      </c>
      <c r="D493" s="2" t="s">
        <v>27</v>
      </c>
      <c r="E493" s="2">
        <v>2021</v>
      </c>
      <c r="F493" s="2" t="s">
        <v>1776</v>
      </c>
      <c r="G493" s="2" t="s">
        <v>1667</v>
      </c>
      <c r="H493" s="2" t="s">
        <v>1669</v>
      </c>
      <c r="I493" s="1" t="s">
        <v>14</v>
      </c>
      <c r="J493" s="1" t="s">
        <v>2388</v>
      </c>
      <c r="L493" s="33" t="s">
        <v>1670</v>
      </c>
      <c r="M493" s="15"/>
      <c r="N493" s="15"/>
      <c r="O493" s="15"/>
      <c r="P493" s="15"/>
      <c r="Q493" s="15"/>
      <c r="R493" s="15"/>
      <c r="S493" s="15"/>
      <c r="T493" s="6">
        <f>2520*100/20</f>
        <v>12600</v>
      </c>
      <c r="U493" s="15"/>
      <c r="V493" s="15"/>
      <c r="W493" s="60" t="s">
        <v>1770</v>
      </c>
    </row>
    <row r="494" spans="1:23" ht="25.5" x14ac:dyDescent="0.2">
      <c r="A494" s="1" t="s">
        <v>25</v>
      </c>
      <c r="B494" s="2" t="s">
        <v>16</v>
      </c>
      <c r="C494" s="2" t="s">
        <v>26</v>
      </c>
      <c r="D494" s="2" t="s">
        <v>27</v>
      </c>
      <c r="E494" s="2">
        <v>2021</v>
      </c>
      <c r="F494" s="2" t="s">
        <v>1779</v>
      </c>
      <c r="G494" s="2" t="s">
        <v>1667</v>
      </c>
      <c r="H494" s="2" t="s">
        <v>1669</v>
      </c>
      <c r="I494" s="1" t="s">
        <v>14</v>
      </c>
      <c r="J494" s="1" t="s">
        <v>2389</v>
      </c>
      <c r="L494" s="53" t="s">
        <v>1670</v>
      </c>
      <c r="M494" s="39"/>
      <c r="N494" s="39"/>
      <c r="O494" s="39"/>
      <c r="P494" s="39"/>
      <c r="Q494" s="39"/>
      <c r="R494" s="39"/>
      <c r="S494" s="39"/>
      <c r="T494" s="14">
        <f>2932*100/20</f>
        <v>14660</v>
      </c>
      <c r="U494" s="39"/>
      <c r="V494" s="39"/>
      <c r="W494" s="60" t="s">
        <v>1770</v>
      </c>
    </row>
    <row r="495" spans="1:23" ht="25.5" x14ac:dyDescent="0.2">
      <c r="A495" s="1" t="s">
        <v>25</v>
      </c>
      <c r="B495" s="2" t="s">
        <v>16</v>
      </c>
      <c r="C495" s="2" t="s">
        <v>26</v>
      </c>
      <c r="D495" s="2" t="s">
        <v>27</v>
      </c>
      <c r="E495" s="2">
        <v>2021</v>
      </c>
      <c r="F495" s="2" t="s">
        <v>1781</v>
      </c>
      <c r="G495" s="2" t="s">
        <v>1667</v>
      </c>
      <c r="H495" s="2" t="s">
        <v>1669</v>
      </c>
      <c r="I495" s="1" t="s">
        <v>14</v>
      </c>
      <c r="J495" s="1" t="s">
        <v>2390</v>
      </c>
      <c r="L495" s="53" t="s">
        <v>1670</v>
      </c>
      <c r="M495" s="39"/>
      <c r="N495" s="39"/>
      <c r="O495" s="39"/>
      <c r="P495" s="39"/>
      <c r="Q495" s="39"/>
      <c r="R495" s="39"/>
      <c r="S495" s="39"/>
      <c r="T495" s="14">
        <f>4588*100/20</f>
        <v>22940</v>
      </c>
      <c r="U495" s="39"/>
      <c r="V495" s="39"/>
      <c r="W495" s="60" t="s">
        <v>1770</v>
      </c>
    </row>
    <row r="496" spans="1:23" ht="38.25" x14ac:dyDescent="0.2">
      <c r="A496" s="1" t="s">
        <v>25</v>
      </c>
      <c r="B496" s="2" t="s">
        <v>16</v>
      </c>
      <c r="C496" s="2" t="s">
        <v>26</v>
      </c>
      <c r="D496" s="2" t="s">
        <v>27</v>
      </c>
      <c r="E496" s="2">
        <v>2021</v>
      </c>
      <c r="F496" s="2" t="s">
        <v>1783</v>
      </c>
      <c r="G496" s="2" t="s">
        <v>1667</v>
      </c>
      <c r="H496" s="2" t="s">
        <v>1669</v>
      </c>
      <c r="I496" s="1" t="s">
        <v>14</v>
      </c>
      <c r="J496" s="1" t="s">
        <v>2391</v>
      </c>
      <c r="L496" s="53" t="s">
        <v>1670</v>
      </c>
      <c r="M496" s="39"/>
      <c r="N496" s="39"/>
      <c r="O496" s="39"/>
      <c r="P496" s="39"/>
      <c r="Q496" s="39"/>
      <c r="R496" s="39"/>
      <c r="S496" s="39"/>
      <c r="T496" s="14">
        <f>3720*100/20</f>
        <v>18600</v>
      </c>
      <c r="U496" s="39">
        <v>2</v>
      </c>
      <c r="V496" s="39"/>
      <c r="W496" s="60" t="s">
        <v>1770</v>
      </c>
    </row>
    <row r="497" spans="1:23" ht="25.5" x14ac:dyDescent="0.2">
      <c r="A497" s="1" t="s">
        <v>25</v>
      </c>
      <c r="B497" s="2" t="s">
        <v>16</v>
      </c>
      <c r="C497" s="2" t="s">
        <v>26</v>
      </c>
      <c r="D497" s="2" t="s">
        <v>27</v>
      </c>
      <c r="E497" s="2">
        <v>2021</v>
      </c>
      <c r="F497" s="2" t="s">
        <v>1785</v>
      </c>
      <c r="G497" s="2" t="s">
        <v>1667</v>
      </c>
      <c r="H497" s="2" t="s">
        <v>1669</v>
      </c>
      <c r="I497" s="1" t="s">
        <v>14</v>
      </c>
      <c r="J497" s="1" t="s">
        <v>2392</v>
      </c>
      <c r="L497" s="53" t="s">
        <v>1670</v>
      </c>
      <c r="M497" s="39"/>
      <c r="N497" s="39"/>
      <c r="O497" s="39"/>
      <c r="P497" s="39"/>
      <c r="Q497" s="39"/>
      <c r="R497" s="39"/>
      <c r="S497" s="39"/>
      <c r="T497" s="14">
        <f>3531*100/20</f>
        <v>17655</v>
      </c>
      <c r="U497" s="39"/>
      <c r="V497" s="39"/>
      <c r="W497" s="60" t="s">
        <v>1770</v>
      </c>
    </row>
    <row r="498" spans="1:23" ht="51" x14ac:dyDescent="0.2">
      <c r="A498" s="1" t="s">
        <v>25</v>
      </c>
      <c r="B498" s="2" t="s">
        <v>16</v>
      </c>
      <c r="C498" s="2" t="s">
        <v>26</v>
      </c>
      <c r="D498" s="2" t="s">
        <v>27</v>
      </c>
      <c r="E498" s="2">
        <v>2021</v>
      </c>
      <c r="F498" s="2" t="s">
        <v>1787</v>
      </c>
      <c r="G498" s="2" t="s">
        <v>1667</v>
      </c>
      <c r="H498" s="2" t="s">
        <v>1669</v>
      </c>
      <c r="I498" s="1" t="s">
        <v>14</v>
      </c>
      <c r="J498" s="1" t="s">
        <v>2393</v>
      </c>
      <c r="L498" s="53" t="s">
        <v>2394</v>
      </c>
      <c r="M498" s="39"/>
      <c r="N498" s="39"/>
      <c r="O498" s="39">
        <v>33.15</v>
      </c>
      <c r="P498" s="39"/>
      <c r="Q498" s="39"/>
      <c r="R498" s="39"/>
      <c r="S498" s="39"/>
      <c r="T498" s="14">
        <f>4022*100/20</f>
        <v>20110</v>
      </c>
      <c r="U498" s="39"/>
      <c r="V498" s="39"/>
      <c r="W498" s="60" t="s">
        <v>1770</v>
      </c>
    </row>
    <row r="499" spans="1:23" ht="51" x14ac:dyDescent="0.2">
      <c r="A499" s="1" t="s">
        <v>25</v>
      </c>
      <c r="B499" s="2" t="s">
        <v>16</v>
      </c>
      <c r="C499" s="2" t="s">
        <v>26</v>
      </c>
      <c r="D499" s="2" t="s">
        <v>27</v>
      </c>
      <c r="E499" s="2">
        <v>2021</v>
      </c>
      <c r="F499" s="2" t="s">
        <v>1789</v>
      </c>
      <c r="G499" s="2" t="s">
        <v>1667</v>
      </c>
      <c r="H499" s="2" t="s">
        <v>1669</v>
      </c>
      <c r="I499" s="1" t="s">
        <v>14</v>
      </c>
      <c r="J499" s="1" t="s">
        <v>2395</v>
      </c>
      <c r="L499" s="53" t="s">
        <v>2396</v>
      </c>
      <c r="M499" s="39"/>
      <c r="N499" s="39"/>
      <c r="O499" s="39">
        <v>36.18</v>
      </c>
      <c r="P499" s="39"/>
      <c r="Q499" s="39"/>
      <c r="R499" s="39"/>
      <c r="S499" s="39"/>
      <c r="T499" s="14">
        <f>3787*100/20</f>
        <v>18935</v>
      </c>
      <c r="U499" s="39"/>
      <c r="V499" s="39"/>
      <c r="W499" s="60" t="s">
        <v>1770</v>
      </c>
    </row>
    <row r="500" spans="1:23" ht="25.5" x14ac:dyDescent="0.2">
      <c r="A500" s="1" t="s">
        <v>25</v>
      </c>
      <c r="B500" s="2" t="s">
        <v>16</v>
      </c>
      <c r="C500" s="2" t="s">
        <v>26</v>
      </c>
      <c r="D500" s="2" t="s">
        <v>27</v>
      </c>
      <c r="E500" s="2">
        <v>2021</v>
      </c>
      <c r="F500" s="2" t="s">
        <v>1791</v>
      </c>
      <c r="G500" s="2" t="s">
        <v>1667</v>
      </c>
      <c r="H500" s="2" t="s">
        <v>1669</v>
      </c>
      <c r="I500" s="1" t="s">
        <v>14</v>
      </c>
      <c r="J500" s="1" t="s">
        <v>2397</v>
      </c>
      <c r="L500" s="53" t="s">
        <v>1670</v>
      </c>
      <c r="M500" s="39"/>
      <c r="N500" s="39"/>
      <c r="O500" s="39"/>
      <c r="P500" s="39"/>
      <c r="Q500" s="39"/>
      <c r="R500" s="39"/>
      <c r="S500" s="39"/>
      <c r="T500" s="14">
        <f>2345*100/20</f>
        <v>11725</v>
      </c>
      <c r="U500" s="39"/>
      <c r="V500" s="39"/>
      <c r="W500" s="60" t="s">
        <v>1770</v>
      </c>
    </row>
    <row r="501" spans="1:23" ht="76.5" x14ac:dyDescent="0.2">
      <c r="A501" s="1" t="s">
        <v>25</v>
      </c>
      <c r="B501" s="2" t="s">
        <v>16</v>
      </c>
      <c r="C501" s="2" t="s">
        <v>26</v>
      </c>
      <c r="D501" s="2" t="s">
        <v>27</v>
      </c>
      <c r="E501" s="2">
        <v>2021</v>
      </c>
      <c r="F501" s="2" t="s">
        <v>311</v>
      </c>
      <c r="G501" s="2" t="s">
        <v>1667</v>
      </c>
      <c r="H501" s="2" t="s">
        <v>1669</v>
      </c>
      <c r="I501" s="1" t="s">
        <v>14</v>
      </c>
      <c r="J501" s="1" t="s">
        <v>2398</v>
      </c>
      <c r="L501" s="53" t="s">
        <v>2399</v>
      </c>
      <c r="M501" s="39"/>
      <c r="N501" s="39"/>
      <c r="O501" s="39">
        <v>85.34</v>
      </c>
      <c r="P501" s="39"/>
      <c r="Q501" s="39"/>
      <c r="R501" s="39"/>
      <c r="S501" s="39"/>
      <c r="T501" s="14">
        <f>(830+2562)*100/20</f>
        <v>16960</v>
      </c>
      <c r="U501" s="39"/>
      <c r="V501" s="39"/>
      <c r="W501" s="60" t="s">
        <v>3084</v>
      </c>
    </row>
    <row r="502" spans="1:23" ht="51" x14ac:dyDescent="0.2">
      <c r="A502" s="1" t="s">
        <v>25</v>
      </c>
      <c r="B502" s="2" t="s">
        <v>16</v>
      </c>
      <c r="C502" s="2" t="s">
        <v>26</v>
      </c>
      <c r="D502" s="2" t="s">
        <v>27</v>
      </c>
      <c r="E502" s="2">
        <v>2021</v>
      </c>
      <c r="F502" s="2" t="s">
        <v>1794</v>
      </c>
      <c r="G502" s="2" t="s">
        <v>1667</v>
      </c>
      <c r="H502" s="2" t="s">
        <v>1669</v>
      </c>
      <c r="I502" s="1" t="s">
        <v>14</v>
      </c>
      <c r="J502" s="1" t="s">
        <v>2400</v>
      </c>
      <c r="L502" s="53" t="s">
        <v>2394</v>
      </c>
      <c r="M502" s="39"/>
      <c r="N502" s="39"/>
      <c r="O502" s="39">
        <v>35.58</v>
      </c>
      <c r="P502" s="39"/>
      <c r="Q502" s="39"/>
      <c r="R502" s="39"/>
      <c r="S502" s="39"/>
      <c r="T502" s="14">
        <f>2938*100/20</f>
        <v>14690</v>
      </c>
      <c r="U502" s="39"/>
      <c r="V502" s="39"/>
      <c r="W502" s="60" t="s">
        <v>3085</v>
      </c>
    </row>
    <row r="503" spans="1:23" ht="51" x14ac:dyDescent="0.2">
      <c r="A503" s="1" t="s">
        <v>25</v>
      </c>
      <c r="B503" s="2" t="s">
        <v>16</v>
      </c>
      <c r="C503" s="2" t="s">
        <v>26</v>
      </c>
      <c r="D503" s="2" t="s">
        <v>27</v>
      </c>
      <c r="E503" s="2">
        <v>2021</v>
      </c>
      <c r="F503" s="2" t="s">
        <v>1796</v>
      </c>
      <c r="G503" s="2" t="s">
        <v>1667</v>
      </c>
      <c r="H503" s="2" t="s">
        <v>1669</v>
      </c>
      <c r="I503" s="1" t="s">
        <v>14</v>
      </c>
      <c r="J503" s="1" t="s">
        <v>2401</v>
      </c>
      <c r="L503" s="53" t="s">
        <v>1670</v>
      </c>
      <c r="M503" s="39"/>
      <c r="N503" s="39"/>
      <c r="O503" s="39">
        <v>138.9</v>
      </c>
      <c r="P503" s="39"/>
      <c r="Q503" s="39"/>
      <c r="R503" s="39"/>
      <c r="S503" s="39"/>
      <c r="T503" s="14">
        <f>4623.27*100/20</f>
        <v>23116.350000000002</v>
      </c>
      <c r="U503" s="39"/>
      <c r="V503" s="39"/>
      <c r="W503" s="60" t="s">
        <v>3083</v>
      </c>
    </row>
    <row r="504" spans="1:23" ht="76.5" x14ac:dyDescent="0.2">
      <c r="A504" s="1" t="s">
        <v>25</v>
      </c>
      <c r="B504" s="2" t="s">
        <v>16</v>
      </c>
      <c r="C504" s="2" t="s">
        <v>26</v>
      </c>
      <c r="D504" s="2" t="s">
        <v>27</v>
      </c>
      <c r="E504" s="2">
        <v>2021</v>
      </c>
      <c r="F504" s="2" t="s">
        <v>1798</v>
      </c>
      <c r="G504" s="2" t="s">
        <v>1667</v>
      </c>
      <c r="H504" s="2" t="s">
        <v>1669</v>
      </c>
      <c r="I504" s="1" t="s">
        <v>14</v>
      </c>
      <c r="J504" s="1" t="s">
        <v>2402</v>
      </c>
      <c r="L504" s="53" t="s">
        <v>2394</v>
      </c>
      <c r="M504" s="39"/>
      <c r="N504" s="39"/>
      <c r="O504" s="39">
        <v>20</v>
      </c>
      <c r="P504" s="39"/>
      <c r="Q504" s="39"/>
      <c r="R504" s="39"/>
      <c r="S504" s="39"/>
      <c r="T504" s="14">
        <f>(2597+509)*100/20</f>
        <v>15530</v>
      </c>
      <c r="U504" s="39"/>
      <c r="V504" s="39"/>
      <c r="W504" s="60" t="s">
        <v>3083</v>
      </c>
    </row>
    <row r="505" spans="1:23" ht="25.5" x14ac:dyDescent="0.2">
      <c r="A505" s="1" t="s">
        <v>339</v>
      </c>
      <c r="B505" s="2" t="s">
        <v>340</v>
      </c>
      <c r="C505" s="2" t="s">
        <v>341</v>
      </c>
      <c r="D505" s="2" t="s">
        <v>77</v>
      </c>
      <c r="E505" s="2">
        <v>2021</v>
      </c>
      <c r="F505" s="2" t="s">
        <v>1781</v>
      </c>
      <c r="G505" s="2" t="s">
        <v>1667</v>
      </c>
      <c r="H505" s="2" t="s">
        <v>1669</v>
      </c>
      <c r="I505" s="1" t="s">
        <v>14</v>
      </c>
      <c r="J505" s="1" t="s">
        <v>2403</v>
      </c>
      <c r="L505" s="53" t="s">
        <v>1670</v>
      </c>
      <c r="M505" s="39"/>
      <c r="N505" s="39"/>
      <c r="O505" s="39">
        <v>22.71</v>
      </c>
      <c r="P505" s="39"/>
      <c r="Q505" s="39"/>
      <c r="R505" s="39"/>
      <c r="S505" s="39"/>
      <c r="T505" s="39"/>
      <c r="U505" s="39"/>
      <c r="V505" s="39"/>
      <c r="W505" s="60" t="s">
        <v>1699</v>
      </c>
    </row>
    <row r="506" spans="1:23" ht="25.5" x14ac:dyDescent="0.2">
      <c r="A506" s="1" t="s">
        <v>339</v>
      </c>
      <c r="B506" s="2" t="s">
        <v>340</v>
      </c>
      <c r="C506" s="2" t="s">
        <v>341</v>
      </c>
      <c r="D506" s="2" t="s">
        <v>77</v>
      </c>
      <c r="E506" s="2">
        <v>2021</v>
      </c>
      <c r="F506" s="2" t="s">
        <v>311</v>
      </c>
      <c r="G506" s="2" t="s">
        <v>1667</v>
      </c>
      <c r="H506" s="2" t="s">
        <v>1669</v>
      </c>
      <c r="I506" s="1" t="s">
        <v>14</v>
      </c>
      <c r="J506" s="1" t="s">
        <v>2404</v>
      </c>
      <c r="L506" s="53" t="s">
        <v>1670</v>
      </c>
      <c r="M506" s="39"/>
      <c r="N506" s="39"/>
      <c r="O506" s="39">
        <v>365</v>
      </c>
      <c r="P506" s="39"/>
      <c r="Q506" s="39"/>
      <c r="R506" s="39"/>
      <c r="S506" s="39"/>
      <c r="T506" s="39"/>
      <c r="U506" s="39"/>
      <c r="V506" s="39"/>
      <c r="W506" s="60"/>
    </row>
    <row r="507" spans="1:23" ht="25.5" x14ac:dyDescent="0.2">
      <c r="A507" s="1" t="s">
        <v>339</v>
      </c>
      <c r="B507" s="2" t="s">
        <v>340</v>
      </c>
      <c r="C507" s="2" t="s">
        <v>341</v>
      </c>
      <c r="D507" s="2" t="s">
        <v>77</v>
      </c>
      <c r="E507" s="2">
        <v>2021</v>
      </c>
      <c r="F507" s="2" t="s">
        <v>1798</v>
      </c>
      <c r="G507" s="2" t="s">
        <v>1667</v>
      </c>
      <c r="H507" s="2" t="s">
        <v>1669</v>
      </c>
      <c r="I507" s="1" t="s">
        <v>14</v>
      </c>
      <c r="J507" s="1" t="s">
        <v>2405</v>
      </c>
      <c r="L507" s="53" t="s">
        <v>1670</v>
      </c>
      <c r="M507" s="39"/>
      <c r="N507" s="39"/>
      <c r="O507" s="39">
        <v>303</v>
      </c>
      <c r="P507" s="39"/>
      <c r="Q507" s="39"/>
      <c r="R507" s="39"/>
      <c r="S507" s="39"/>
      <c r="T507" s="39"/>
      <c r="U507" s="39"/>
      <c r="V507" s="39"/>
      <c r="W507" s="60"/>
    </row>
    <row r="508" spans="1:23" ht="25.5" x14ac:dyDescent="0.2">
      <c r="A508" s="1" t="s">
        <v>147</v>
      </c>
      <c r="B508" s="2" t="s">
        <v>38</v>
      </c>
      <c r="C508" s="2" t="s">
        <v>148</v>
      </c>
      <c r="D508" s="2" t="s">
        <v>108</v>
      </c>
      <c r="E508" s="2">
        <v>2021</v>
      </c>
      <c r="F508" s="2" t="s">
        <v>1776</v>
      </c>
      <c r="G508" s="2" t="s">
        <v>1667</v>
      </c>
      <c r="H508" s="2" t="s">
        <v>1669</v>
      </c>
      <c r="I508" s="1" t="s">
        <v>14</v>
      </c>
      <c r="J508" s="1" t="s">
        <v>2406</v>
      </c>
      <c r="L508" s="53">
        <v>0.20499999999999999</v>
      </c>
      <c r="M508" s="39"/>
      <c r="N508" s="39"/>
      <c r="O508" s="39">
        <v>69.8</v>
      </c>
      <c r="P508" s="39"/>
      <c r="Q508" s="39"/>
      <c r="R508" s="39"/>
      <c r="S508" s="39"/>
      <c r="T508" s="39"/>
      <c r="U508" s="39"/>
      <c r="V508" s="39"/>
      <c r="W508" s="60"/>
    </row>
    <row r="509" spans="1:23" ht="25.5" x14ac:dyDescent="0.2">
      <c r="A509" s="1" t="s">
        <v>147</v>
      </c>
      <c r="B509" s="2" t="s">
        <v>38</v>
      </c>
      <c r="C509" s="2" t="s">
        <v>148</v>
      </c>
      <c r="D509" s="2" t="s">
        <v>108</v>
      </c>
      <c r="E509" s="2">
        <v>2021</v>
      </c>
      <c r="F509" s="2" t="s">
        <v>1779</v>
      </c>
      <c r="G509" s="2" t="s">
        <v>1667</v>
      </c>
      <c r="H509" s="2" t="s">
        <v>1669</v>
      </c>
      <c r="I509" s="1" t="s">
        <v>14</v>
      </c>
      <c r="J509" s="1" t="s">
        <v>2407</v>
      </c>
      <c r="L509" s="53">
        <v>0.20499999999999999</v>
      </c>
      <c r="M509" s="39"/>
      <c r="N509" s="39"/>
      <c r="O509" s="39">
        <v>88.3</v>
      </c>
      <c r="P509" s="39"/>
      <c r="Q509" s="39"/>
      <c r="R509" s="39"/>
      <c r="S509" s="39"/>
      <c r="T509" s="39"/>
      <c r="U509" s="39"/>
      <c r="V509" s="39"/>
      <c r="W509" s="60"/>
    </row>
    <row r="510" spans="1:23" ht="25.5" x14ac:dyDescent="0.2">
      <c r="A510" s="1" t="s">
        <v>147</v>
      </c>
      <c r="B510" s="2" t="s">
        <v>38</v>
      </c>
      <c r="C510" s="2" t="s">
        <v>148</v>
      </c>
      <c r="D510" s="2" t="s">
        <v>108</v>
      </c>
      <c r="E510" s="2">
        <v>2021</v>
      </c>
      <c r="F510" s="2" t="s">
        <v>1781</v>
      </c>
      <c r="G510" s="2" t="s">
        <v>1667</v>
      </c>
      <c r="H510" s="2" t="s">
        <v>1669</v>
      </c>
      <c r="I510" s="1" t="s">
        <v>14</v>
      </c>
      <c r="J510" s="1" t="s">
        <v>2408</v>
      </c>
      <c r="L510" s="53">
        <v>0.17100000000000001</v>
      </c>
      <c r="M510" s="39"/>
      <c r="N510" s="39"/>
      <c r="O510" s="39">
        <v>98</v>
      </c>
      <c r="P510" s="39"/>
      <c r="Q510" s="39"/>
      <c r="R510" s="39"/>
      <c r="S510" s="39"/>
      <c r="T510" s="39"/>
      <c r="U510" s="39"/>
      <c r="V510" s="39"/>
      <c r="W510" s="60"/>
    </row>
    <row r="511" spans="1:23" ht="25.5" x14ac:dyDescent="0.2">
      <c r="A511" s="1" t="s">
        <v>147</v>
      </c>
      <c r="B511" s="2" t="s">
        <v>38</v>
      </c>
      <c r="C511" s="2" t="s">
        <v>148</v>
      </c>
      <c r="D511" s="2" t="s">
        <v>108</v>
      </c>
      <c r="E511" s="2">
        <v>2021</v>
      </c>
      <c r="F511" s="2" t="s">
        <v>1783</v>
      </c>
      <c r="G511" s="2" t="s">
        <v>1667</v>
      </c>
      <c r="H511" s="2" t="s">
        <v>1669</v>
      </c>
      <c r="I511" s="1" t="s">
        <v>14</v>
      </c>
      <c r="J511" s="1" t="s">
        <v>2409</v>
      </c>
      <c r="L511" s="53">
        <v>0.17199999999999999</v>
      </c>
      <c r="M511" s="39"/>
      <c r="N511" s="39"/>
      <c r="O511" s="39">
        <v>108.4</v>
      </c>
      <c r="P511" s="39"/>
      <c r="Q511" s="39"/>
      <c r="R511" s="39"/>
      <c r="S511" s="39"/>
      <c r="T511" s="39"/>
      <c r="U511" s="39"/>
      <c r="V511" s="39"/>
      <c r="W511" s="60"/>
    </row>
    <row r="512" spans="1:23" ht="25.5" x14ac:dyDescent="0.2">
      <c r="A512" s="1" t="s">
        <v>147</v>
      </c>
      <c r="B512" s="2" t="s">
        <v>38</v>
      </c>
      <c r="C512" s="2" t="s">
        <v>148</v>
      </c>
      <c r="D512" s="2" t="s">
        <v>108</v>
      </c>
      <c r="E512" s="2">
        <v>2021</v>
      </c>
      <c r="F512" s="2" t="s">
        <v>1785</v>
      </c>
      <c r="G512" s="2" t="s">
        <v>1667</v>
      </c>
      <c r="H512" s="2" t="s">
        <v>1669</v>
      </c>
      <c r="I512" s="1" t="s">
        <v>14</v>
      </c>
      <c r="J512" s="1" t="s">
        <v>2410</v>
      </c>
      <c r="L512" s="53">
        <v>0.188</v>
      </c>
      <c r="M512" s="39"/>
      <c r="N512" s="39"/>
      <c r="O512" s="39">
        <v>121.65</v>
      </c>
      <c r="P512" s="39"/>
      <c r="Q512" s="39"/>
      <c r="R512" s="39"/>
      <c r="S512" s="39"/>
      <c r="T512" s="39"/>
      <c r="U512" s="39"/>
      <c r="V512" s="39"/>
      <c r="W512" s="60"/>
    </row>
    <row r="513" spans="1:23" ht="25.5" x14ac:dyDescent="0.2">
      <c r="A513" s="1" t="s">
        <v>147</v>
      </c>
      <c r="B513" s="2" t="s">
        <v>38</v>
      </c>
      <c r="C513" s="2" t="s">
        <v>148</v>
      </c>
      <c r="D513" s="2" t="s">
        <v>108</v>
      </c>
      <c r="E513" s="2">
        <v>2021</v>
      </c>
      <c r="F513" s="2" t="s">
        <v>1787</v>
      </c>
      <c r="G513" s="2" t="s">
        <v>1667</v>
      </c>
      <c r="H513" s="2" t="s">
        <v>1669</v>
      </c>
      <c r="I513" s="1" t="s">
        <v>14</v>
      </c>
      <c r="J513" s="1" t="s">
        <v>2411</v>
      </c>
      <c r="L513" s="53">
        <v>0.185</v>
      </c>
      <c r="M513" s="39"/>
      <c r="N513" s="39"/>
      <c r="O513" s="39">
        <v>124.01</v>
      </c>
      <c r="P513" s="39"/>
      <c r="Q513" s="39"/>
      <c r="R513" s="39"/>
      <c r="S513" s="39"/>
      <c r="T513" s="39"/>
      <c r="U513" s="39"/>
      <c r="V513" s="39"/>
      <c r="W513" s="60"/>
    </row>
    <row r="514" spans="1:23" ht="25.5" x14ac:dyDescent="0.2">
      <c r="A514" s="1" t="s">
        <v>147</v>
      </c>
      <c r="B514" s="2" t="s">
        <v>38</v>
      </c>
      <c r="C514" s="2" t="s">
        <v>148</v>
      </c>
      <c r="D514" s="2" t="s">
        <v>108</v>
      </c>
      <c r="E514" s="2">
        <v>2021</v>
      </c>
      <c r="F514" s="2" t="s">
        <v>1789</v>
      </c>
      <c r="G514" s="2" t="s">
        <v>1667</v>
      </c>
      <c r="H514" s="2" t="s">
        <v>1669</v>
      </c>
      <c r="I514" s="1" t="s">
        <v>14</v>
      </c>
      <c r="J514" s="1" t="s">
        <v>2412</v>
      </c>
      <c r="L514" s="53">
        <v>0.193</v>
      </c>
      <c r="M514" s="39"/>
      <c r="N514" s="39"/>
      <c r="O514" s="39">
        <v>115.88</v>
      </c>
      <c r="P514" s="39"/>
      <c r="Q514" s="39"/>
      <c r="R514" s="39"/>
      <c r="S514" s="39"/>
      <c r="T514" s="39"/>
      <c r="U514" s="39"/>
      <c r="V514" s="39"/>
      <c r="W514" s="60"/>
    </row>
    <row r="515" spans="1:23" ht="25.5" x14ac:dyDescent="0.2">
      <c r="A515" s="1" t="s">
        <v>147</v>
      </c>
      <c r="B515" s="2" t="s">
        <v>38</v>
      </c>
      <c r="C515" s="2" t="s">
        <v>148</v>
      </c>
      <c r="D515" s="2" t="s">
        <v>108</v>
      </c>
      <c r="E515" s="2">
        <v>2021</v>
      </c>
      <c r="F515" s="2" t="s">
        <v>1791</v>
      </c>
      <c r="G515" s="2" t="s">
        <v>1667</v>
      </c>
      <c r="H515" s="2" t="s">
        <v>1669</v>
      </c>
      <c r="I515" s="1" t="s">
        <v>14</v>
      </c>
      <c r="J515" s="1" t="s">
        <v>2413</v>
      </c>
      <c r="L515" s="53">
        <v>0.18099999999999999</v>
      </c>
      <c r="M515" s="39"/>
      <c r="N515" s="39"/>
      <c r="O515" s="39">
        <v>85.4</v>
      </c>
      <c r="P515" s="39"/>
      <c r="Q515" s="39"/>
      <c r="R515" s="39"/>
      <c r="S515" s="39"/>
      <c r="T515" s="39"/>
      <c r="U515" s="39"/>
      <c r="V515" s="39"/>
      <c r="W515" s="60"/>
    </row>
    <row r="516" spans="1:23" ht="25.5" x14ac:dyDescent="0.2">
      <c r="A516" s="1" t="s">
        <v>147</v>
      </c>
      <c r="B516" s="2" t="s">
        <v>38</v>
      </c>
      <c r="C516" s="2" t="s">
        <v>148</v>
      </c>
      <c r="D516" s="2" t="s">
        <v>108</v>
      </c>
      <c r="E516" s="2">
        <v>2021</v>
      </c>
      <c r="F516" s="2" t="s">
        <v>311</v>
      </c>
      <c r="G516" s="2" t="s">
        <v>1667</v>
      </c>
      <c r="H516" s="2" t="s">
        <v>1669</v>
      </c>
      <c r="I516" s="1" t="s">
        <v>14</v>
      </c>
      <c r="J516" s="1" t="s">
        <v>2414</v>
      </c>
      <c r="L516" s="53">
        <v>0.16500000000000001</v>
      </c>
      <c r="M516" s="39"/>
      <c r="N516" s="39"/>
      <c r="O516" s="39">
        <v>115.9</v>
      </c>
      <c r="P516" s="39"/>
      <c r="Q516" s="39"/>
      <c r="R516" s="39"/>
      <c r="S516" s="39"/>
      <c r="T516" s="39"/>
      <c r="U516" s="39"/>
      <c r="V516" s="39"/>
      <c r="W516" s="60"/>
    </row>
    <row r="517" spans="1:23" ht="25.5" x14ac:dyDescent="0.2">
      <c r="A517" s="1" t="s">
        <v>147</v>
      </c>
      <c r="B517" s="2" t="s">
        <v>38</v>
      </c>
      <c r="C517" s="2" t="s">
        <v>148</v>
      </c>
      <c r="D517" s="2" t="s">
        <v>108</v>
      </c>
      <c r="E517" s="2">
        <v>2021</v>
      </c>
      <c r="F517" s="2" t="s">
        <v>1794</v>
      </c>
      <c r="G517" s="2" t="s">
        <v>1667</v>
      </c>
      <c r="H517" s="2" t="s">
        <v>1669</v>
      </c>
      <c r="I517" s="1" t="s">
        <v>14</v>
      </c>
      <c r="J517" s="1" t="s">
        <v>2415</v>
      </c>
      <c r="L517" s="53">
        <v>0.16500000000000001</v>
      </c>
      <c r="M517" s="39"/>
      <c r="N517" s="39"/>
      <c r="O517" s="39">
        <v>107.49</v>
      </c>
      <c r="P517" s="39"/>
      <c r="Q517" s="39"/>
      <c r="R517" s="39"/>
      <c r="S517" s="39"/>
      <c r="T517" s="39"/>
      <c r="U517" s="39"/>
      <c r="V517" s="39"/>
      <c r="W517" s="60"/>
    </row>
    <row r="518" spans="1:23" ht="25.5" x14ac:dyDescent="0.2">
      <c r="A518" s="1" t="s">
        <v>147</v>
      </c>
      <c r="B518" s="2" t="s">
        <v>38</v>
      </c>
      <c r="C518" s="2" t="s">
        <v>148</v>
      </c>
      <c r="D518" s="2" t="s">
        <v>108</v>
      </c>
      <c r="E518" s="2">
        <v>2021</v>
      </c>
      <c r="F518" s="2" t="s">
        <v>1796</v>
      </c>
      <c r="G518" s="2" t="s">
        <v>1667</v>
      </c>
      <c r="H518" s="2" t="s">
        <v>1669</v>
      </c>
      <c r="I518" s="1" t="s">
        <v>14</v>
      </c>
      <c r="J518" s="1" t="s">
        <v>2416</v>
      </c>
      <c r="L518" s="53">
        <v>0.155</v>
      </c>
      <c r="M518" s="39"/>
      <c r="N518" s="39"/>
      <c r="O518" s="39">
        <v>96.3</v>
      </c>
      <c r="P518" s="39"/>
      <c r="Q518" s="39"/>
      <c r="R518" s="39"/>
      <c r="S518" s="39"/>
      <c r="T518" s="39"/>
      <c r="U518" s="39"/>
      <c r="V518" s="39"/>
      <c r="W518" s="60"/>
    </row>
    <row r="519" spans="1:23" ht="25.5" x14ac:dyDescent="0.2">
      <c r="A519" s="1" t="s">
        <v>147</v>
      </c>
      <c r="B519" s="2" t="s">
        <v>38</v>
      </c>
      <c r="C519" s="2" t="s">
        <v>148</v>
      </c>
      <c r="D519" s="2" t="s">
        <v>108</v>
      </c>
      <c r="E519" s="2">
        <v>2021</v>
      </c>
      <c r="F519" s="2" t="s">
        <v>1798</v>
      </c>
      <c r="G519" s="2" t="s">
        <v>1667</v>
      </c>
      <c r="H519" s="2" t="s">
        <v>1669</v>
      </c>
      <c r="I519" s="1" t="s">
        <v>14</v>
      </c>
      <c r="J519" s="1" t="s">
        <v>2417</v>
      </c>
      <c r="L519" s="53">
        <v>0.16400000000000001</v>
      </c>
      <c r="M519" s="39"/>
      <c r="N519" s="39"/>
      <c r="O519" s="39">
        <v>109</v>
      </c>
      <c r="P519" s="39"/>
      <c r="Q519" s="39"/>
      <c r="R519" s="39"/>
      <c r="S519" s="39"/>
      <c r="T519" s="39"/>
      <c r="U519" s="39"/>
      <c r="V519" s="39"/>
      <c r="W519" s="60"/>
    </row>
    <row r="520" spans="1:23" ht="127.5" x14ac:dyDescent="0.2">
      <c r="A520" s="1" t="s">
        <v>2418</v>
      </c>
      <c r="B520" s="2" t="s">
        <v>196</v>
      </c>
      <c r="C520" s="2" t="s">
        <v>148</v>
      </c>
      <c r="D520" s="2" t="s">
        <v>108</v>
      </c>
      <c r="E520" s="2">
        <v>2021</v>
      </c>
      <c r="F520" s="2" t="s">
        <v>1794</v>
      </c>
      <c r="G520" s="2" t="s">
        <v>1669</v>
      </c>
      <c r="H520" s="2" t="s">
        <v>1669</v>
      </c>
      <c r="I520" s="1" t="s">
        <v>2419</v>
      </c>
      <c r="J520" s="1" t="s">
        <v>2419</v>
      </c>
      <c r="L520" s="53">
        <v>0.215</v>
      </c>
      <c r="M520" s="39"/>
      <c r="N520" s="39"/>
      <c r="O520" s="39">
        <f>407.28+263.38</f>
        <v>670.66</v>
      </c>
      <c r="P520" s="39"/>
      <c r="Q520" s="39"/>
      <c r="R520" s="39"/>
      <c r="S520" s="39"/>
      <c r="T520" s="39"/>
      <c r="U520" s="39"/>
      <c r="V520" s="39"/>
      <c r="W520" s="60"/>
    </row>
    <row r="521" spans="1:23" ht="114.75" x14ac:dyDescent="0.2">
      <c r="A521" s="1" t="s">
        <v>2420</v>
      </c>
      <c r="B521" s="2" t="s">
        <v>196</v>
      </c>
      <c r="C521" s="2" t="s">
        <v>2421</v>
      </c>
      <c r="D521" s="2" t="s">
        <v>223</v>
      </c>
      <c r="E521" s="2">
        <v>2021</v>
      </c>
      <c r="F521" s="2" t="s">
        <v>1791</v>
      </c>
      <c r="G521" s="2" t="s">
        <v>1669</v>
      </c>
      <c r="H521" s="2" t="s">
        <v>1669</v>
      </c>
      <c r="I521" s="1" t="s">
        <v>2422</v>
      </c>
      <c r="J521" s="1" t="s">
        <v>2423</v>
      </c>
      <c r="L521" s="53">
        <v>0.22600000000000001</v>
      </c>
      <c r="M521" s="39"/>
      <c r="N521" s="39"/>
      <c r="O521" s="39">
        <f>180.65+158.8</f>
        <v>339.45000000000005</v>
      </c>
      <c r="P521" s="39"/>
      <c r="Q521" s="39"/>
      <c r="R521" s="39"/>
      <c r="S521" s="39"/>
      <c r="T521" s="39"/>
      <c r="U521" s="39"/>
      <c r="V521" s="39"/>
      <c r="W521" s="60" t="s">
        <v>2424</v>
      </c>
    </row>
    <row r="522" spans="1:23" ht="51" x14ac:dyDescent="0.2">
      <c r="A522" s="1" t="s">
        <v>2425</v>
      </c>
      <c r="B522" s="2" t="s">
        <v>32</v>
      </c>
      <c r="C522" s="2" t="s">
        <v>2426</v>
      </c>
      <c r="D522" s="2" t="s">
        <v>346</v>
      </c>
      <c r="E522" s="2">
        <v>2021</v>
      </c>
      <c r="F522" s="2" t="s">
        <v>1794</v>
      </c>
      <c r="G522" s="2" t="s">
        <v>1669</v>
      </c>
      <c r="H522" s="2" t="s">
        <v>1669</v>
      </c>
      <c r="I522" s="1" t="s">
        <v>2427</v>
      </c>
      <c r="J522" s="1" t="s">
        <v>2428</v>
      </c>
      <c r="L522" s="53"/>
      <c r="M522" s="39"/>
      <c r="N522" s="39"/>
      <c r="O522" s="39"/>
      <c r="P522" s="39"/>
      <c r="Q522" s="39"/>
      <c r="R522" s="39"/>
      <c r="S522" s="39"/>
      <c r="T522" s="39"/>
      <c r="U522" s="39"/>
      <c r="V522" s="39"/>
      <c r="W522" s="60" t="s">
        <v>1683</v>
      </c>
    </row>
    <row r="523" spans="1:23" ht="76.5" x14ac:dyDescent="0.2">
      <c r="A523" s="1" t="s">
        <v>2429</v>
      </c>
      <c r="B523" s="2" t="s">
        <v>198</v>
      </c>
      <c r="C523" s="2" t="s">
        <v>2430</v>
      </c>
      <c r="D523" s="2" t="s">
        <v>234</v>
      </c>
      <c r="E523" s="2">
        <v>2021</v>
      </c>
      <c r="F523" s="2" t="s">
        <v>1791</v>
      </c>
      <c r="G523" s="2" t="s">
        <v>1669</v>
      </c>
      <c r="H523" s="2" t="s">
        <v>1669</v>
      </c>
      <c r="I523" s="1" t="s">
        <v>2431</v>
      </c>
      <c r="J523" s="1" t="s">
        <v>2432</v>
      </c>
      <c r="L523" s="53">
        <v>3.7999999999999999E-2</v>
      </c>
      <c r="M523" s="39"/>
      <c r="N523" s="39"/>
      <c r="O523" s="39">
        <v>507</v>
      </c>
      <c r="P523" s="39"/>
      <c r="Q523" s="39"/>
      <c r="R523" s="39"/>
      <c r="S523" s="39"/>
      <c r="T523" s="39"/>
      <c r="U523" s="39"/>
      <c r="V523" s="39"/>
      <c r="W523" s="60" t="s">
        <v>1699</v>
      </c>
    </row>
    <row r="524" spans="1:23" ht="63.75" x14ac:dyDescent="0.2">
      <c r="A524" s="1" t="s">
        <v>254</v>
      </c>
      <c r="B524" s="2" t="s">
        <v>32</v>
      </c>
      <c r="C524" s="2" t="s">
        <v>255</v>
      </c>
      <c r="D524" s="2" t="s">
        <v>88</v>
      </c>
      <c r="E524" s="2">
        <v>2021</v>
      </c>
      <c r="F524" s="2" t="s">
        <v>1781</v>
      </c>
      <c r="G524" s="2" t="s">
        <v>1667</v>
      </c>
      <c r="H524" s="2" t="s">
        <v>1669</v>
      </c>
      <c r="I524" s="1" t="s">
        <v>14</v>
      </c>
      <c r="J524" s="1" t="s">
        <v>2433</v>
      </c>
      <c r="L524" s="53">
        <v>0.04</v>
      </c>
      <c r="M524" s="39"/>
      <c r="N524" s="39"/>
      <c r="O524" s="39"/>
      <c r="P524" s="39"/>
      <c r="Q524" s="39"/>
      <c r="R524" s="39"/>
      <c r="S524" s="39"/>
      <c r="T524" s="39"/>
      <c r="U524" s="39"/>
      <c r="V524" s="39">
        <v>190.68</v>
      </c>
      <c r="W524" s="60" t="s">
        <v>2434</v>
      </c>
    </row>
    <row r="525" spans="1:23" ht="63.75" x14ac:dyDescent="0.2">
      <c r="A525" s="1" t="s">
        <v>254</v>
      </c>
      <c r="B525" s="2" t="s">
        <v>32</v>
      </c>
      <c r="C525" s="2" t="s">
        <v>255</v>
      </c>
      <c r="D525" s="2" t="s">
        <v>88</v>
      </c>
      <c r="E525" s="2">
        <v>2021</v>
      </c>
      <c r="F525" s="2" t="s">
        <v>1789</v>
      </c>
      <c r="G525" s="2" t="s">
        <v>1667</v>
      </c>
      <c r="H525" s="2" t="s">
        <v>1669</v>
      </c>
      <c r="I525" s="1" t="s">
        <v>14</v>
      </c>
      <c r="J525" s="1" t="s">
        <v>2435</v>
      </c>
      <c r="L525" s="53">
        <v>5.0999999999999997E-2</v>
      </c>
      <c r="M525" s="39"/>
      <c r="N525" s="39"/>
      <c r="O525" s="39"/>
      <c r="P525" s="39"/>
      <c r="Q525" s="39"/>
      <c r="R525" s="39"/>
      <c r="S525" s="39"/>
      <c r="T525" s="39"/>
      <c r="U525" s="39"/>
      <c r="V525" s="39">
        <v>207</v>
      </c>
      <c r="W525" s="60" t="s">
        <v>2434</v>
      </c>
    </row>
    <row r="526" spans="1:23" ht="63.75" x14ac:dyDescent="0.2">
      <c r="A526" s="1" t="s">
        <v>254</v>
      </c>
      <c r="B526" s="2" t="s">
        <v>32</v>
      </c>
      <c r="C526" s="2" t="s">
        <v>255</v>
      </c>
      <c r="D526" s="2" t="s">
        <v>88</v>
      </c>
      <c r="E526" s="2">
        <v>2021</v>
      </c>
      <c r="F526" s="2" t="s">
        <v>1796</v>
      </c>
      <c r="G526" s="2" t="s">
        <v>1667</v>
      </c>
      <c r="H526" s="2" t="s">
        <v>1669</v>
      </c>
      <c r="I526" s="1" t="s">
        <v>14</v>
      </c>
      <c r="J526" s="1" t="s">
        <v>2437</v>
      </c>
      <c r="L526" s="53">
        <v>5.2999999999999999E-2</v>
      </c>
      <c r="M526" s="39"/>
      <c r="N526" s="39"/>
      <c r="O526" s="39"/>
      <c r="P526" s="39"/>
      <c r="Q526" s="39"/>
      <c r="R526" s="39"/>
      <c r="S526" s="39"/>
      <c r="T526" s="39"/>
      <c r="U526" s="39"/>
      <c r="V526" s="39">
        <v>235.42</v>
      </c>
      <c r="W526" s="60" t="s">
        <v>2434</v>
      </c>
    </row>
    <row r="527" spans="1:23" ht="63.75" x14ac:dyDescent="0.2">
      <c r="A527" s="1" t="s">
        <v>390</v>
      </c>
      <c r="B527" s="2" t="s">
        <v>391</v>
      </c>
      <c r="C527" s="2" t="s">
        <v>392</v>
      </c>
      <c r="D527" s="2" t="s">
        <v>240</v>
      </c>
      <c r="E527" s="2">
        <v>2021</v>
      </c>
      <c r="F527" s="2" t="s">
        <v>1796</v>
      </c>
      <c r="G527" s="2" t="s">
        <v>1669</v>
      </c>
      <c r="H527" s="2" t="s">
        <v>1669</v>
      </c>
      <c r="I527" s="1" t="s">
        <v>2438</v>
      </c>
      <c r="J527" s="1" t="s">
        <v>2439</v>
      </c>
      <c r="L527" s="53">
        <v>3.2000000000000001E-2</v>
      </c>
      <c r="M527" s="39">
        <v>67.5</v>
      </c>
      <c r="N527" s="39"/>
      <c r="O527" s="39"/>
      <c r="P527" s="39"/>
      <c r="Q527" s="39"/>
      <c r="R527" s="39"/>
      <c r="S527" s="39"/>
      <c r="T527" s="39"/>
      <c r="U527" s="39"/>
      <c r="V527" s="39"/>
      <c r="W527" s="60" t="s">
        <v>1699</v>
      </c>
    </row>
    <row r="528" spans="1:23" ht="51" x14ac:dyDescent="0.2">
      <c r="A528" s="1" t="s">
        <v>2440</v>
      </c>
      <c r="B528" s="2" t="s">
        <v>32</v>
      </c>
      <c r="C528" s="2" t="s">
        <v>2441</v>
      </c>
      <c r="D528" s="2" t="s">
        <v>338</v>
      </c>
      <c r="E528" s="2">
        <v>2021</v>
      </c>
      <c r="F528" s="2" t="s">
        <v>1789</v>
      </c>
      <c r="G528" s="2" t="s">
        <v>1667</v>
      </c>
      <c r="H528" s="2" t="s">
        <v>1669</v>
      </c>
      <c r="I528" s="1" t="s">
        <v>14</v>
      </c>
      <c r="J528" s="1" t="s">
        <v>2442</v>
      </c>
      <c r="L528" s="53">
        <v>0.18099999999999999</v>
      </c>
      <c r="M528" s="39"/>
      <c r="N528" s="39"/>
      <c r="O528" s="39"/>
      <c r="P528" s="39"/>
      <c r="Q528" s="39"/>
      <c r="R528" s="39"/>
      <c r="S528" s="39"/>
      <c r="T528" s="39"/>
      <c r="U528" s="39"/>
      <c r="V528" s="39">
        <f>40*0.8</f>
        <v>32</v>
      </c>
      <c r="W528" s="60" t="s">
        <v>2443</v>
      </c>
    </row>
    <row r="529" spans="1:23" ht="51" x14ac:dyDescent="0.2">
      <c r="A529" s="1" t="s">
        <v>2440</v>
      </c>
      <c r="B529" s="2" t="s">
        <v>32</v>
      </c>
      <c r="C529" s="2" t="s">
        <v>2441</v>
      </c>
      <c r="D529" s="2" t="s">
        <v>338</v>
      </c>
      <c r="E529" s="2">
        <v>2021</v>
      </c>
      <c r="F529" s="2" t="s">
        <v>1791</v>
      </c>
      <c r="G529" s="2" t="s">
        <v>1667</v>
      </c>
      <c r="H529" s="2" t="s">
        <v>1669</v>
      </c>
      <c r="I529" s="1" t="s">
        <v>14</v>
      </c>
      <c r="J529" s="1" t="s">
        <v>2444</v>
      </c>
      <c r="L529" s="53">
        <v>0.16</v>
      </c>
      <c r="M529" s="39"/>
      <c r="N529" s="39"/>
      <c r="O529" s="39"/>
      <c r="P529" s="39"/>
      <c r="Q529" s="39"/>
      <c r="R529" s="39"/>
      <c r="S529" s="39"/>
      <c r="T529" s="39"/>
      <c r="U529" s="39"/>
      <c r="V529" s="39">
        <f>40*0.8</f>
        <v>32</v>
      </c>
      <c r="W529" s="60" t="s">
        <v>2443</v>
      </c>
    </row>
    <row r="530" spans="1:23" ht="51" x14ac:dyDescent="0.2">
      <c r="A530" s="1" t="s">
        <v>2440</v>
      </c>
      <c r="B530" s="2" t="s">
        <v>32</v>
      </c>
      <c r="C530" s="2" t="s">
        <v>2441</v>
      </c>
      <c r="D530" s="2" t="s">
        <v>338</v>
      </c>
      <c r="E530" s="2">
        <v>2021</v>
      </c>
      <c r="F530" s="2" t="s">
        <v>311</v>
      </c>
      <c r="G530" s="2" t="s">
        <v>1667</v>
      </c>
      <c r="H530" s="2" t="s">
        <v>1669</v>
      </c>
      <c r="I530" s="1" t="s">
        <v>14</v>
      </c>
      <c r="J530" s="1" t="s">
        <v>2445</v>
      </c>
      <c r="L530" s="53">
        <v>0.153</v>
      </c>
      <c r="M530" s="39"/>
      <c r="N530" s="39"/>
      <c r="O530" s="39"/>
      <c r="P530" s="39"/>
      <c r="Q530" s="39"/>
      <c r="R530" s="39"/>
      <c r="S530" s="39"/>
      <c r="T530" s="39"/>
      <c r="U530" s="39"/>
      <c r="V530" s="39">
        <f>26*0.8</f>
        <v>20.8</v>
      </c>
      <c r="W530" s="60" t="s">
        <v>2443</v>
      </c>
    </row>
    <row r="531" spans="1:23" ht="51" x14ac:dyDescent="0.2">
      <c r="A531" s="1" t="s">
        <v>2440</v>
      </c>
      <c r="B531" s="2" t="s">
        <v>32</v>
      </c>
      <c r="C531" s="2" t="s">
        <v>2441</v>
      </c>
      <c r="D531" s="2" t="s">
        <v>338</v>
      </c>
      <c r="E531" s="2">
        <v>2021</v>
      </c>
      <c r="F531" s="2" t="s">
        <v>1794</v>
      </c>
      <c r="G531" s="2" t="s">
        <v>1667</v>
      </c>
      <c r="H531" s="2" t="s">
        <v>1669</v>
      </c>
      <c r="I531" s="1" t="s">
        <v>14</v>
      </c>
      <c r="J531" s="1" t="s">
        <v>2446</v>
      </c>
      <c r="L531" s="53">
        <v>0.151</v>
      </c>
      <c r="M531" s="39"/>
      <c r="N531" s="39"/>
      <c r="O531" s="39"/>
      <c r="P531" s="39"/>
      <c r="Q531" s="39"/>
      <c r="R531" s="39"/>
      <c r="S531" s="39"/>
      <c r="T531" s="39"/>
      <c r="U531" s="39"/>
      <c r="V531" s="3">
        <f>25*0.8</f>
        <v>20</v>
      </c>
      <c r="W531" s="60" t="s">
        <v>2443</v>
      </c>
    </row>
    <row r="532" spans="1:23" ht="25.5" x14ac:dyDescent="0.2">
      <c r="A532" s="1" t="s">
        <v>2447</v>
      </c>
      <c r="B532" s="2" t="s">
        <v>196</v>
      </c>
      <c r="C532" s="2" t="s">
        <v>2448</v>
      </c>
      <c r="D532" s="2" t="s">
        <v>12</v>
      </c>
      <c r="E532" s="2">
        <v>2021</v>
      </c>
      <c r="F532" s="2" t="s">
        <v>1791</v>
      </c>
      <c r="G532" s="2" t="s">
        <v>1669</v>
      </c>
      <c r="H532" s="2" t="s">
        <v>1668</v>
      </c>
      <c r="I532" s="1" t="s">
        <v>2449</v>
      </c>
      <c r="J532" s="1" t="s">
        <v>14</v>
      </c>
      <c r="L532" s="53"/>
      <c r="M532" s="39"/>
      <c r="N532" s="39"/>
      <c r="O532" s="39"/>
      <c r="P532" s="39"/>
      <c r="Q532" s="39"/>
      <c r="R532" s="39"/>
      <c r="S532" s="39"/>
      <c r="T532" s="39"/>
      <c r="U532" s="39"/>
      <c r="V532" s="39"/>
      <c r="W532" s="60"/>
    </row>
    <row r="533" spans="1:23" ht="63.75" x14ac:dyDescent="0.2">
      <c r="A533" s="1" t="s">
        <v>93</v>
      </c>
      <c r="B533" s="2" t="s">
        <v>38</v>
      </c>
      <c r="C533" s="2" t="s">
        <v>94</v>
      </c>
      <c r="D533" s="2" t="s">
        <v>58</v>
      </c>
      <c r="E533" s="2">
        <v>2021</v>
      </c>
      <c r="F533" s="2" t="s">
        <v>1776</v>
      </c>
      <c r="G533" s="2" t="s">
        <v>1667</v>
      </c>
      <c r="H533" s="2" t="s">
        <v>1669</v>
      </c>
      <c r="I533" s="1" t="s">
        <v>14</v>
      </c>
      <c r="J533" s="1" t="s">
        <v>2450</v>
      </c>
      <c r="L533" s="53">
        <v>0.23100000000000001</v>
      </c>
      <c r="M533" s="39"/>
      <c r="N533" s="39"/>
      <c r="O533" s="39">
        <f>113.98+11.22</f>
        <v>125.2</v>
      </c>
      <c r="P533" s="39"/>
      <c r="Q533" s="39"/>
      <c r="R533" s="39"/>
      <c r="S533" s="39"/>
      <c r="T533" s="39"/>
      <c r="U533" s="39"/>
      <c r="V533" s="39"/>
      <c r="W533" s="60"/>
    </row>
    <row r="534" spans="1:23" ht="25.5" x14ac:dyDescent="0.2">
      <c r="A534" s="1" t="s">
        <v>93</v>
      </c>
      <c r="B534" s="2" t="s">
        <v>38</v>
      </c>
      <c r="C534" s="2" t="s">
        <v>94</v>
      </c>
      <c r="D534" s="2" t="s">
        <v>58</v>
      </c>
      <c r="E534" s="2">
        <v>2021</v>
      </c>
      <c r="F534" s="2" t="s">
        <v>1779</v>
      </c>
      <c r="G534" s="2" t="s">
        <v>1667</v>
      </c>
      <c r="H534" s="2" t="s">
        <v>1669</v>
      </c>
      <c r="I534" s="1" t="s">
        <v>14</v>
      </c>
      <c r="J534" s="1" t="s">
        <v>2451</v>
      </c>
      <c r="L534" s="53">
        <v>0.22550000000000001</v>
      </c>
      <c r="M534" s="39"/>
      <c r="N534" s="39"/>
      <c r="O534" s="39">
        <f>1193*(159.2/1105)</f>
        <v>171.87837104072398</v>
      </c>
      <c r="P534" s="39"/>
      <c r="Q534" s="39"/>
      <c r="R534" s="39"/>
      <c r="S534" s="39"/>
      <c r="T534" s="39"/>
      <c r="U534" s="39"/>
      <c r="V534" s="39"/>
      <c r="W534" s="60" t="s">
        <v>2452</v>
      </c>
    </row>
    <row r="535" spans="1:23" ht="38.25" x14ac:dyDescent="0.2">
      <c r="A535" s="1" t="s">
        <v>93</v>
      </c>
      <c r="B535" s="2" t="s">
        <v>38</v>
      </c>
      <c r="C535" s="2" t="s">
        <v>94</v>
      </c>
      <c r="D535" s="2" t="s">
        <v>58</v>
      </c>
      <c r="E535" s="2">
        <v>2021</v>
      </c>
      <c r="F535" s="2" t="s">
        <v>1781</v>
      </c>
      <c r="G535" s="2" t="s">
        <v>1667</v>
      </c>
      <c r="H535" s="2" t="s">
        <v>1669</v>
      </c>
      <c r="I535" s="1" t="s">
        <v>14</v>
      </c>
      <c r="J535" s="1" t="s">
        <v>2453</v>
      </c>
      <c r="L535" s="53">
        <v>0.22700000000000001</v>
      </c>
      <c r="M535" s="39"/>
      <c r="N535" s="39"/>
      <c r="O535" s="39">
        <v>225.95</v>
      </c>
      <c r="P535" s="39"/>
      <c r="Q535" s="39"/>
      <c r="R535" s="39"/>
      <c r="S535" s="39"/>
      <c r="T535" s="39"/>
      <c r="U535" s="39"/>
      <c r="V535" s="39"/>
      <c r="W535" s="60"/>
    </row>
    <row r="536" spans="1:23" ht="25.5" x14ac:dyDescent="0.2">
      <c r="A536" s="1" t="s">
        <v>93</v>
      </c>
      <c r="B536" s="2" t="s">
        <v>38</v>
      </c>
      <c r="C536" s="2" t="s">
        <v>94</v>
      </c>
      <c r="D536" s="2" t="s">
        <v>58</v>
      </c>
      <c r="E536" s="2">
        <v>2021</v>
      </c>
      <c r="F536" s="2" t="s">
        <v>1783</v>
      </c>
      <c r="G536" s="2" t="s">
        <v>1667</v>
      </c>
      <c r="H536" s="2" t="s">
        <v>1669</v>
      </c>
      <c r="I536" s="1" t="s">
        <v>14</v>
      </c>
      <c r="J536" s="1" t="s">
        <v>2454</v>
      </c>
      <c r="L536" s="53">
        <v>0.2</v>
      </c>
      <c r="M536" s="39"/>
      <c r="N536" s="39"/>
      <c r="O536" s="39">
        <v>230.6</v>
      </c>
      <c r="P536" s="39"/>
      <c r="Q536" s="39"/>
      <c r="R536" s="39"/>
      <c r="S536" s="39"/>
      <c r="T536" s="39"/>
      <c r="U536" s="39"/>
      <c r="V536" s="39"/>
      <c r="W536" s="60"/>
    </row>
    <row r="537" spans="1:23" ht="25.5" x14ac:dyDescent="0.2">
      <c r="A537" s="1" t="s">
        <v>93</v>
      </c>
      <c r="B537" s="2" t="s">
        <v>38</v>
      </c>
      <c r="C537" s="2" t="s">
        <v>94</v>
      </c>
      <c r="D537" s="2" t="s">
        <v>58</v>
      </c>
      <c r="E537" s="2">
        <v>2021</v>
      </c>
      <c r="F537" s="2" t="s">
        <v>1785</v>
      </c>
      <c r="G537" s="2" t="s">
        <v>1667</v>
      </c>
      <c r="H537" s="2" t="s">
        <v>1669</v>
      </c>
      <c r="I537" s="1" t="s">
        <v>14</v>
      </c>
      <c r="J537" s="1" t="s">
        <v>2455</v>
      </c>
      <c r="L537" s="53">
        <v>0.20799999999999999</v>
      </c>
      <c r="M537" s="39"/>
      <c r="N537" s="39"/>
      <c r="O537" s="39">
        <v>159.19999999999999</v>
      </c>
      <c r="P537" s="39"/>
      <c r="Q537" s="39"/>
      <c r="R537" s="39"/>
      <c r="S537" s="39"/>
      <c r="T537" s="39"/>
      <c r="U537" s="39"/>
      <c r="V537" s="39"/>
      <c r="W537" s="60"/>
    </row>
    <row r="538" spans="1:23" ht="25.5" x14ac:dyDescent="0.2">
      <c r="A538" s="1" t="s">
        <v>93</v>
      </c>
      <c r="B538" s="2" t="s">
        <v>38</v>
      </c>
      <c r="C538" s="2" t="s">
        <v>94</v>
      </c>
      <c r="D538" s="2" t="s">
        <v>58</v>
      </c>
      <c r="E538" s="2">
        <v>2021</v>
      </c>
      <c r="F538" s="2" t="s">
        <v>1787</v>
      </c>
      <c r="G538" s="2" t="s">
        <v>1667</v>
      </c>
      <c r="H538" s="2" t="s">
        <v>1669</v>
      </c>
      <c r="I538" s="1" t="s">
        <v>14</v>
      </c>
      <c r="J538" s="1" t="s">
        <v>2456</v>
      </c>
      <c r="L538" s="53">
        <v>0.21299999999999999</v>
      </c>
      <c r="M538" s="39"/>
      <c r="N538" s="39"/>
      <c r="O538" s="39">
        <v>223.5</v>
      </c>
      <c r="P538" s="39"/>
      <c r="Q538" s="39"/>
      <c r="R538" s="39"/>
      <c r="S538" s="39"/>
      <c r="T538" s="39"/>
      <c r="U538" s="39"/>
      <c r="V538" s="39"/>
      <c r="W538" s="60"/>
    </row>
    <row r="539" spans="1:23" ht="25.5" x14ac:dyDescent="0.2">
      <c r="A539" s="1" t="s">
        <v>93</v>
      </c>
      <c r="B539" s="2" t="s">
        <v>38</v>
      </c>
      <c r="C539" s="2" t="s">
        <v>94</v>
      </c>
      <c r="D539" s="2" t="s">
        <v>58</v>
      </c>
      <c r="E539" s="2">
        <v>2021</v>
      </c>
      <c r="F539" s="2" t="s">
        <v>1789</v>
      </c>
      <c r="G539" s="2" t="s">
        <v>1667</v>
      </c>
      <c r="H539" s="2" t="s">
        <v>1669</v>
      </c>
      <c r="I539" s="1" t="s">
        <v>14</v>
      </c>
      <c r="J539" s="1" t="s">
        <v>2457</v>
      </c>
      <c r="L539" s="53">
        <v>0.29599999999999999</v>
      </c>
      <c r="M539" s="39"/>
      <c r="N539" s="39"/>
      <c r="O539" s="39">
        <v>196.55</v>
      </c>
      <c r="P539" s="39"/>
      <c r="Q539" s="39"/>
      <c r="R539" s="39"/>
      <c r="S539" s="39"/>
      <c r="T539" s="39"/>
      <c r="U539" s="39"/>
      <c r="V539" s="39"/>
      <c r="W539" s="60"/>
    </row>
    <row r="540" spans="1:23" ht="25.5" x14ac:dyDescent="0.2">
      <c r="A540" s="1" t="s">
        <v>93</v>
      </c>
      <c r="B540" s="2" t="s">
        <v>38</v>
      </c>
      <c r="C540" s="2" t="s">
        <v>94</v>
      </c>
      <c r="D540" s="2" t="s">
        <v>58</v>
      </c>
      <c r="E540" s="2">
        <v>2021</v>
      </c>
      <c r="F540" s="2" t="s">
        <v>1791</v>
      </c>
      <c r="G540" s="2" t="s">
        <v>1667</v>
      </c>
      <c r="H540" s="2" t="s">
        <v>1669</v>
      </c>
      <c r="I540" s="1" t="s">
        <v>14</v>
      </c>
      <c r="J540" s="1" t="s">
        <v>2458</v>
      </c>
      <c r="L540" s="53">
        <v>0.22800000000000001</v>
      </c>
      <c r="M540" s="39"/>
      <c r="N540" s="39"/>
      <c r="O540" s="39">
        <f>1345*(159.2/1105)</f>
        <v>193.77737556561087</v>
      </c>
      <c r="P540" s="39"/>
      <c r="Q540" s="39"/>
      <c r="R540" s="39"/>
      <c r="S540" s="39"/>
      <c r="T540" s="39"/>
      <c r="U540" s="39"/>
      <c r="V540" s="39"/>
      <c r="W540" s="60" t="s">
        <v>2452</v>
      </c>
    </row>
    <row r="541" spans="1:23" ht="25.5" x14ac:dyDescent="0.2">
      <c r="A541" s="1" t="s">
        <v>93</v>
      </c>
      <c r="B541" s="2" t="s">
        <v>38</v>
      </c>
      <c r="C541" s="2" t="s">
        <v>94</v>
      </c>
      <c r="D541" s="2" t="s">
        <v>58</v>
      </c>
      <c r="E541" s="2">
        <v>2021</v>
      </c>
      <c r="F541" s="2" t="s">
        <v>311</v>
      </c>
      <c r="G541" s="2" t="s">
        <v>1667</v>
      </c>
      <c r="H541" s="2" t="s">
        <v>1669</v>
      </c>
      <c r="I541" s="1" t="s">
        <v>14</v>
      </c>
      <c r="J541" s="1" t="s">
        <v>2459</v>
      </c>
      <c r="L541" s="53">
        <v>0.193</v>
      </c>
      <c r="M541" s="39"/>
      <c r="N541" s="39"/>
      <c r="O541" s="39">
        <v>211.92</v>
      </c>
      <c r="P541" s="39"/>
      <c r="Q541" s="39"/>
      <c r="R541" s="39"/>
      <c r="S541" s="39"/>
      <c r="T541" s="39"/>
      <c r="U541" s="39"/>
      <c r="V541" s="39"/>
      <c r="W541" s="60"/>
    </row>
    <row r="542" spans="1:23" ht="38.25" x14ac:dyDescent="0.2">
      <c r="A542" s="1" t="s">
        <v>93</v>
      </c>
      <c r="B542" s="2" t="s">
        <v>38</v>
      </c>
      <c r="C542" s="2" t="s">
        <v>94</v>
      </c>
      <c r="D542" s="2" t="s">
        <v>58</v>
      </c>
      <c r="E542" s="2">
        <v>2021</v>
      </c>
      <c r="F542" s="2" t="s">
        <v>1794</v>
      </c>
      <c r="G542" s="2" t="s">
        <v>1667</v>
      </c>
      <c r="H542" s="2" t="s">
        <v>1669</v>
      </c>
      <c r="I542" s="1" t="s">
        <v>14</v>
      </c>
      <c r="J542" s="1" t="s">
        <v>2460</v>
      </c>
      <c r="L542" s="53">
        <v>0.157</v>
      </c>
      <c r="M542" s="39"/>
      <c r="N542" s="39"/>
      <c r="O542" s="39">
        <f>106.91+125.27</f>
        <v>232.18</v>
      </c>
      <c r="P542" s="39"/>
      <c r="Q542" s="39"/>
      <c r="R542" s="39"/>
      <c r="S542" s="39"/>
      <c r="T542" s="39"/>
      <c r="U542" s="39"/>
      <c r="V542" s="39"/>
      <c r="W542" s="60"/>
    </row>
    <row r="543" spans="1:23" ht="25.5" x14ac:dyDescent="0.2">
      <c r="A543" s="1" t="s">
        <v>93</v>
      </c>
      <c r="B543" s="2" t="s">
        <v>38</v>
      </c>
      <c r="C543" s="2" t="s">
        <v>94</v>
      </c>
      <c r="D543" s="2" t="s">
        <v>58</v>
      </c>
      <c r="E543" s="2">
        <v>2021</v>
      </c>
      <c r="F543" s="2" t="s">
        <v>1796</v>
      </c>
      <c r="G543" s="2" t="s">
        <v>1667</v>
      </c>
      <c r="H543" s="2" t="s">
        <v>1669</v>
      </c>
      <c r="I543" s="1" t="s">
        <v>14</v>
      </c>
      <c r="J543" s="1" t="s">
        <v>2461</v>
      </c>
      <c r="L543" s="53">
        <v>0.14299999999999999</v>
      </c>
      <c r="M543" s="39"/>
      <c r="N543" s="39"/>
      <c r="O543" s="39">
        <v>221.19</v>
      </c>
      <c r="P543" s="39"/>
      <c r="Q543" s="39"/>
      <c r="R543" s="39"/>
      <c r="S543" s="39"/>
      <c r="T543" s="39"/>
      <c r="U543" s="39"/>
      <c r="V543" s="39"/>
      <c r="W543" s="60"/>
    </row>
    <row r="544" spans="1:23" ht="25.5" x14ac:dyDescent="0.2">
      <c r="A544" s="1" t="s">
        <v>93</v>
      </c>
      <c r="B544" s="2" t="s">
        <v>38</v>
      </c>
      <c r="C544" s="2" t="s">
        <v>94</v>
      </c>
      <c r="D544" s="2" t="s">
        <v>58</v>
      </c>
      <c r="E544" s="2">
        <v>2021</v>
      </c>
      <c r="F544" s="2" t="s">
        <v>1798</v>
      </c>
      <c r="G544" s="2" t="s">
        <v>1667</v>
      </c>
      <c r="H544" s="2" t="s">
        <v>1669</v>
      </c>
      <c r="I544" s="1" t="s">
        <v>14</v>
      </c>
      <c r="J544" s="1" t="s">
        <v>2462</v>
      </c>
      <c r="L544" s="53">
        <v>0.13600000000000001</v>
      </c>
      <c r="M544" s="39"/>
      <c r="N544" s="39"/>
      <c r="O544" s="39">
        <v>231.64</v>
      </c>
      <c r="P544" s="39"/>
      <c r="Q544" s="39"/>
      <c r="R544" s="39"/>
      <c r="S544" s="39"/>
      <c r="T544" s="39"/>
      <c r="U544" s="39"/>
      <c r="V544" s="39"/>
      <c r="W544" s="60"/>
    </row>
    <row r="545" spans="1:23" ht="51" x14ac:dyDescent="0.2">
      <c r="A545" s="1" t="s">
        <v>2463</v>
      </c>
      <c r="B545" s="2" t="s">
        <v>308</v>
      </c>
      <c r="C545" s="2" t="s">
        <v>2464</v>
      </c>
      <c r="D545" s="2" t="s">
        <v>71</v>
      </c>
      <c r="E545" s="2">
        <v>2021</v>
      </c>
      <c r="F545" s="2" t="s">
        <v>1794</v>
      </c>
      <c r="G545" s="2" t="s">
        <v>1669</v>
      </c>
      <c r="H545" s="2" t="s">
        <v>1669</v>
      </c>
      <c r="I545" s="1" t="s">
        <v>2465</v>
      </c>
      <c r="J545" s="1" t="s">
        <v>2466</v>
      </c>
      <c r="L545" s="33" t="s">
        <v>1670</v>
      </c>
      <c r="M545" s="15"/>
      <c r="N545" s="15"/>
      <c r="O545" s="15"/>
      <c r="P545" s="15"/>
      <c r="Q545" s="15"/>
      <c r="R545" s="15"/>
      <c r="S545" s="15"/>
      <c r="T545" s="15"/>
      <c r="U545" s="15"/>
      <c r="V545" s="15">
        <v>140</v>
      </c>
      <c r="W545" s="60" t="s">
        <v>1699</v>
      </c>
    </row>
    <row r="546" spans="1:23" ht="51" x14ac:dyDescent="0.2">
      <c r="A546" s="1" t="s">
        <v>2463</v>
      </c>
      <c r="B546" s="2" t="s">
        <v>308</v>
      </c>
      <c r="C546" s="2" t="s">
        <v>2464</v>
      </c>
      <c r="D546" s="2" t="s">
        <v>71</v>
      </c>
      <c r="E546" s="2">
        <v>2021</v>
      </c>
      <c r="F546" s="2" t="s">
        <v>1796</v>
      </c>
      <c r="G546" s="2" t="s">
        <v>1669</v>
      </c>
      <c r="H546" s="2" t="s">
        <v>1669</v>
      </c>
      <c r="I546" s="1" t="s">
        <v>2467</v>
      </c>
      <c r="J546" s="1" t="s">
        <v>2468</v>
      </c>
      <c r="L546" s="33" t="s">
        <v>1670</v>
      </c>
      <c r="M546" s="15"/>
      <c r="N546" s="15"/>
      <c r="O546" s="15"/>
      <c r="P546" s="15"/>
      <c r="Q546" s="15"/>
      <c r="R546" s="15"/>
      <c r="S546" s="15"/>
      <c r="T546" s="15"/>
      <c r="U546" s="15"/>
      <c r="V546" s="15">
        <v>7</v>
      </c>
      <c r="W546" s="60" t="s">
        <v>1699</v>
      </c>
    </row>
    <row r="547" spans="1:23" ht="102" x14ac:dyDescent="0.2">
      <c r="A547" s="1" t="s">
        <v>1280</v>
      </c>
      <c r="B547" s="2" t="s">
        <v>196</v>
      </c>
      <c r="C547" s="2" t="s">
        <v>1281</v>
      </c>
      <c r="D547" s="2" t="s">
        <v>314</v>
      </c>
      <c r="E547" s="2">
        <v>2021</v>
      </c>
      <c r="F547" s="2" t="s">
        <v>1794</v>
      </c>
      <c r="G547" s="2" t="s">
        <v>1668</v>
      </c>
      <c r="H547" s="2" t="s">
        <v>1669</v>
      </c>
      <c r="I547" s="1" t="s">
        <v>14</v>
      </c>
      <c r="J547" s="1" t="s">
        <v>2469</v>
      </c>
      <c r="L547" s="53">
        <v>0.18</v>
      </c>
      <c r="M547" s="39"/>
      <c r="N547" s="39"/>
      <c r="O547" s="39">
        <v>386.53</v>
      </c>
      <c r="P547" s="39"/>
      <c r="Q547" s="39"/>
      <c r="R547" s="39"/>
      <c r="S547" s="39"/>
      <c r="T547" s="39"/>
      <c r="U547" s="39"/>
      <c r="V547" s="39"/>
      <c r="W547" s="60"/>
    </row>
    <row r="548" spans="1:23" ht="51" x14ac:dyDescent="0.2">
      <c r="A548" s="1" t="s">
        <v>1075</v>
      </c>
      <c r="B548" s="2" t="s">
        <v>196</v>
      </c>
      <c r="C548" s="2" t="s">
        <v>1076</v>
      </c>
      <c r="D548" s="2" t="s">
        <v>1077</v>
      </c>
      <c r="E548" s="2">
        <v>2021</v>
      </c>
      <c r="F548" s="2" t="s">
        <v>1787</v>
      </c>
      <c r="G548" s="2" t="s">
        <v>1669</v>
      </c>
      <c r="H548" s="2" t="s">
        <v>1669</v>
      </c>
      <c r="I548" s="1" t="s">
        <v>2470</v>
      </c>
      <c r="J548" s="1" t="s">
        <v>2471</v>
      </c>
      <c r="L548" s="53"/>
      <c r="M548" s="39"/>
      <c r="N548" s="39"/>
      <c r="O548" s="39"/>
      <c r="P548" s="39"/>
      <c r="Q548" s="39"/>
      <c r="R548" s="39"/>
      <c r="S548" s="39"/>
      <c r="T548" s="39"/>
      <c r="U548" s="39"/>
      <c r="V548" s="39"/>
      <c r="W548" s="60" t="s">
        <v>1693</v>
      </c>
    </row>
    <row r="549" spans="1:23" ht="51" x14ac:dyDescent="0.2">
      <c r="A549" s="1" t="s">
        <v>1075</v>
      </c>
      <c r="B549" s="2" t="s">
        <v>196</v>
      </c>
      <c r="C549" s="2" t="s">
        <v>1076</v>
      </c>
      <c r="D549" s="2" t="s">
        <v>1077</v>
      </c>
      <c r="E549" s="2">
        <v>2021</v>
      </c>
      <c r="F549" s="2" t="s">
        <v>1789</v>
      </c>
      <c r="G549" s="2" t="s">
        <v>1669</v>
      </c>
      <c r="H549" s="2" t="s">
        <v>1669</v>
      </c>
      <c r="I549" s="1" t="s">
        <v>2472</v>
      </c>
      <c r="J549" s="1" t="s">
        <v>2473</v>
      </c>
      <c r="L549" s="53"/>
      <c r="M549" s="39"/>
      <c r="N549" s="39"/>
      <c r="O549" s="39"/>
      <c r="P549" s="39"/>
      <c r="Q549" s="39"/>
      <c r="R549" s="39"/>
      <c r="S549" s="39"/>
      <c r="T549" s="39"/>
      <c r="U549" s="39"/>
      <c r="V549" s="39"/>
      <c r="W549" s="60" t="s">
        <v>1693</v>
      </c>
    </row>
    <row r="550" spans="1:23" ht="140.25" x14ac:dyDescent="0.2">
      <c r="A550" s="1" t="s">
        <v>1075</v>
      </c>
      <c r="B550" s="2" t="s">
        <v>196</v>
      </c>
      <c r="C550" s="2" t="s">
        <v>1076</v>
      </c>
      <c r="D550" s="2" t="s">
        <v>1077</v>
      </c>
      <c r="E550" s="2">
        <v>2021</v>
      </c>
      <c r="F550" s="2" t="s">
        <v>1791</v>
      </c>
      <c r="G550" s="2" t="s">
        <v>1669</v>
      </c>
      <c r="H550" s="2" t="s">
        <v>1669</v>
      </c>
      <c r="I550" s="1" t="s">
        <v>2474</v>
      </c>
      <c r="J550" s="1" t="s">
        <v>2475</v>
      </c>
      <c r="L550" s="53"/>
      <c r="M550" s="39"/>
      <c r="N550" s="39"/>
      <c r="O550" s="39"/>
      <c r="P550" s="39"/>
      <c r="Q550" s="39"/>
      <c r="R550" s="39"/>
      <c r="S550" s="39"/>
      <c r="T550" s="39"/>
      <c r="U550" s="39"/>
      <c r="V550" s="39"/>
      <c r="W550" s="60" t="s">
        <v>1693</v>
      </c>
    </row>
    <row r="551" spans="1:23" ht="114.75" x14ac:dyDescent="0.2">
      <c r="A551" s="1" t="s">
        <v>1075</v>
      </c>
      <c r="B551" s="2" t="s">
        <v>196</v>
      </c>
      <c r="C551" s="2" t="s">
        <v>1076</v>
      </c>
      <c r="D551" s="2" t="s">
        <v>1077</v>
      </c>
      <c r="E551" s="2">
        <v>2021</v>
      </c>
      <c r="F551" s="2" t="s">
        <v>311</v>
      </c>
      <c r="G551" s="2" t="s">
        <v>1669</v>
      </c>
      <c r="H551" s="2" t="s">
        <v>1669</v>
      </c>
      <c r="I551" s="1" t="s">
        <v>2476</v>
      </c>
      <c r="J551" s="1" t="s">
        <v>2477</v>
      </c>
      <c r="L551" s="53"/>
      <c r="M551" s="39"/>
      <c r="N551" s="39"/>
      <c r="O551" s="39"/>
      <c r="P551" s="39"/>
      <c r="Q551" s="39"/>
      <c r="R551" s="39"/>
      <c r="S551" s="39"/>
      <c r="T551" s="39"/>
      <c r="U551" s="39"/>
      <c r="V551" s="39"/>
      <c r="W551" s="60" t="s">
        <v>1693</v>
      </c>
    </row>
    <row r="552" spans="1:23" ht="89.25" x14ac:dyDescent="0.2">
      <c r="A552" s="1" t="s">
        <v>1169</v>
      </c>
      <c r="B552" s="2" t="s">
        <v>196</v>
      </c>
      <c r="C552" s="2" t="s">
        <v>1170</v>
      </c>
      <c r="D552" s="2" t="s">
        <v>473</v>
      </c>
      <c r="E552" s="2">
        <v>2021</v>
      </c>
      <c r="F552" s="2" t="s">
        <v>1796</v>
      </c>
      <c r="G552" s="2" t="s">
        <v>1669</v>
      </c>
      <c r="H552" s="2" t="s">
        <v>1669</v>
      </c>
      <c r="I552" s="1" t="s">
        <v>2478</v>
      </c>
      <c r="J552" s="1" t="s">
        <v>2479</v>
      </c>
      <c r="L552" s="53">
        <v>0.34910000000000002</v>
      </c>
      <c r="M552" s="39"/>
      <c r="N552" s="39"/>
      <c r="O552" s="39">
        <f>326.36/L552</f>
        <v>934.86107132626751</v>
      </c>
      <c r="P552" s="39"/>
      <c r="Q552" s="39"/>
      <c r="R552" s="39"/>
      <c r="S552" s="39"/>
      <c r="T552" s="39"/>
      <c r="U552" s="39"/>
      <c r="V552" s="39"/>
      <c r="W552" s="60"/>
    </row>
    <row r="553" spans="1:23" ht="102" x14ac:dyDescent="0.2">
      <c r="A553" s="1" t="s">
        <v>95</v>
      </c>
      <c r="B553" s="2" t="s">
        <v>24</v>
      </c>
      <c r="C553" s="2" t="s">
        <v>96</v>
      </c>
      <c r="D553" s="2" t="s">
        <v>97</v>
      </c>
      <c r="E553" s="2">
        <v>2021</v>
      </c>
      <c r="F553" s="2" t="s">
        <v>1776</v>
      </c>
      <c r="G553" s="2" t="s">
        <v>1668</v>
      </c>
      <c r="H553" s="2" t="s">
        <v>1669</v>
      </c>
      <c r="I553" s="1" t="s">
        <v>14</v>
      </c>
      <c r="J553" s="1" t="s">
        <v>2480</v>
      </c>
      <c r="L553" s="53">
        <v>0.2</v>
      </c>
      <c r="M553" s="39"/>
      <c r="N553" s="39"/>
      <c r="O553" s="39"/>
      <c r="P553" s="39"/>
      <c r="Q553" s="39"/>
      <c r="R553" s="39"/>
      <c r="S553" s="39"/>
      <c r="T553" s="39">
        <f>42019*0.0322/L553</f>
        <v>6765.0589999999993</v>
      </c>
      <c r="U553" s="39"/>
      <c r="V553" s="39"/>
      <c r="W553" s="60" t="s">
        <v>1765</v>
      </c>
    </row>
    <row r="554" spans="1:23" ht="102" x14ac:dyDescent="0.2">
      <c r="A554" s="1" t="s">
        <v>95</v>
      </c>
      <c r="B554" s="2" t="s">
        <v>24</v>
      </c>
      <c r="C554" s="2" t="s">
        <v>96</v>
      </c>
      <c r="D554" s="2" t="s">
        <v>97</v>
      </c>
      <c r="E554" s="2">
        <v>2021</v>
      </c>
      <c r="F554" s="2" t="s">
        <v>1779</v>
      </c>
      <c r="G554" s="2" t="s">
        <v>1668</v>
      </c>
      <c r="H554" s="2" t="s">
        <v>1669</v>
      </c>
      <c r="I554" s="1" t="s">
        <v>14</v>
      </c>
      <c r="J554" s="1" t="s">
        <v>2481</v>
      </c>
      <c r="L554" s="53">
        <v>0.2</v>
      </c>
      <c r="M554" s="39"/>
      <c r="N554" s="39"/>
      <c r="O554" s="39"/>
      <c r="P554" s="39"/>
      <c r="Q554" s="39"/>
      <c r="R554" s="39"/>
      <c r="S554" s="39"/>
      <c r="T554" s="39">
        <f>39473*0.0327/L554</f>
        <v>6453.8355000000001</v>
      </c>
      <c r="U554" s="39"/>
      <c r="V554" s="39"/>
      <c r="W554" s="60" t="s">
        <v>1765</v>
      </c>
    </row>
    <row r="555" spans="1:23" ht="102" x14ac:dyDescent="0.2">
      <c r="A555" s="1" t="s">
        <v>95</v>
      </c>
      <c r="B555" s="2" t="s">
        <v>24</v>
      </c>
      <c r="C555" s="2" t="s">
        <v>96</v>
      </c>
      <c r="D555" s="2" t="s">
        <v>97</v>
      </c>
      <c r="E555" s="2">
        <v>2021</v>
      </c>
      <c r="F555" s="2" t="s">
        <v>1781</v>
      </c>
      <c r="G555" s="2" t="s">
        <v>1668</v>
      </c>
      <c r="H555" s="2" t="s">
        <v>1669</v>
      </c>
      <c r="I555" s="1" t="s">
        <v>14</v>
      </c>
      <c r="J555" s="1" t="s">
        <v>2482</v>
      </c>
      <c r="L555" s="53">
        <v>0.2</v>
      </c>
      <c r="M555" s="39"/>
      <c r="N555" s="39"/>
      <c r="O555" s="39"/>
      <c r="P555" s="39"/>
      <c r="Q555" s="39"/>
      <c r="R555" s="39"/>
      <c r="S555" s="39"/>
      <c r="T555" s="39">
        <f>46488*0.0374/L555</f>
        <v>8693.2559999999994</v>
      </c>
      <c r="U555" s="39"/>
      <c r="V555" s="39"/>
      <c r="W555" s="60" t="s">
        <v>1765</v>
      </c>
    </row>
    <row r="556" spans="1:23" ht="102" x14ac:dyDescent="0.2">
      <c r="A556" s="1" t="s">
        <v>95</v>
      </c>
      <c r="B556" s="2" t="s">
        <v>24</v>
      </c>
      <c r="C556" s="2" t="s">
        <v>96</v>
      </c>
      <c r="D556" s="2" t="s">
        <v>97</v>
      </c>
      <c r="E556" s="2">
        <v>2021</v>
      </c>
      <c r="F556" s="2" t="s">
        <v>1783</v>
      </c>
      <c r="G556" s="2" t="s">
        <v>1668</v>
      </c>
      <c r="H556" s="2" t="s">
        <v>1669</v>
      </c>
      <c r="I556" s="1" t="s">
        <v>14</v>
      </c>
      <c r="J556" s="1" t="s">
        <v>2483</v>
      </c>
      <c r="L556" s="53">
        <v>0.2</v>
      </c>
      <c r="M556" s="39"/>
      <c r="N556" s="39"/>
      <c r="O556" s="39"/>
      <c r="P556" s="39"/>
      <c r="Q556" s="39"/>
      <c r="R556" s="39"/>
      <c r="S556" s="39"/>
      <c r="T556" s="39">
        <f>44878*0.0358/L556</f>
        <v>8033.1619999999994</v>
      </c>
      <c r="U556" s="39"/>
      <c r="V556" s="39"/>
      <c r="W556" s="60" t="s">
        <v>1765</v>
      </c>
    </row>
    <row r="557" spans="1:23" ht="102" x14ac:dyDescent="0.2">
      <c r="A557" s="1" t="s">
        <v>95</v>
      </c>
      <c r="B557" s="2" t="s">
        <v>24</v>
      </c>
      <c r="C557" s="2" t="s">
        <v>96</v>
      </c>
      <c r="D557" s="2" t="s">
        <v>97</v>
      </c>
      <c r="E557" s="2">
        <v>2021</v>
      </c>
      <c r="F557" s="2" t="s">
        <v>1785</v>
      </c>
      <c r="G557" s="2" t="s">
        <v>1668</v>
      </c>
      <c r="H557" s="2" t="s">
        <v>1669</v>
      </c>
      <c r="I557" s="1" t="s">
        <v>14</v>
      </c>
      <c r="J557" s="1" t="s">
        <v>2484</v>
      </c>
      <c r="L557" s="53">
        <v>0.2</v>
      </c>
      <c r="M557" s="39"/>
      <c r="N557" s="39"/>
      <c r="O557" s="39"/>
      <c r="P557" s="39"/>
      <c r="Q557" s="39"/>
      <c r="R557" s="39"/>
      <c r="S557" s="39"/>
      <c r="T557" s="39">
        <f>46999*0.0376/L557</f>
        <v>8835.8119999999999</v>
      </c>
      <c r="U557" s="39"/>
      <c r="V557" s="39"/>
      <c r="W557" s="60" t="s">
        <v>1765</v>
      </c>
    </row>
    <row r="558" spans="1:23" ht="102" x14ac:dyDescent="0.2">
      <c r="A558" s="1" t="s">
        <v>95</v>
      </c>
      <c r="B558" s="2" t="s">
        <v>24</v>
      </c>
      <c r="C558" s="2" t="s">
        <v>96</v>
      </c>
      <c r="D558" s="2" t="s">
        <v>97</v>
      </c>
      <c r="E558" s="2">
        <v>2021</v>
      </c>
      <c r="F558" s="2" t="s">
        <v>1787</v>
      </c>
      <c r="G558" s="2" t="s">
        <v>1668</v>
      </c>
      <c r="H558" s="2" t="s">
        <v>1669</v>
      </c>
      <c r="I558" s="1" t="s">
        <v>14</v>
      </c>
      <c r="J558" s="1" t="s">
        <v>2485</v>
      </c>
      <c r="L558" s="53">
        <v>0.2</v>
      </c>
      <c r="M558" s="39"/>
      <c r="N558" s="39"/>
      <c r="O558" s="39"/>
      <c r="P558" s="39"/>
      <c r="Q558" s="39"/>
      <c r="R558" s="39"/>
      <c r="S558" s="39"/>
      <c r="T558" s="39">
        <f>45161*0.0382/L558</f>
        <v>8625.7509999999984</v>
      </c>
      <c r="U558" s="39"/>
      <c r="V558" s="39"/>
      <c r="W558" s="60" t="s">
        <v>1765</v>
      </c>
    </row>
    <row r="559" spans="1:23" ht="102" x14ac:dyDescent="0.2">
      <c r="A559" s="1" t="s">
        <v>95</v>
      </c>
      <c r="B559" s="2" t="s">
        <v>24</v>
      </c>
      <c r="C559" s="2" t="s">
        <v>96</v>
      </c>
      <c r="D559" s="2" t="s">
        <v>97</v>
      </c>
      <c r="E559" s="2">
        <v>2021</v>
      </c>
      <c r="F559" s="2" t="s">
        <v>1789</v>
      </c>
      <c r="G559" s="2" t="s">
        <v>1668</v>
      </c>
      <c r="H559" s="2" t="s">
        <v>1669</v>
      </c>
      <c r="I559" s="1" t="s">
        <v>14</v>
      </c>
      <c r="J559" s="1" t="s">
        <v>2486</v>
      </c>
      <c r="L559" s="53">
        <v>0.2</v>
      </c>
      <c r="M559" s="39"/>
      <c r="N559" s="39"/>
      <c r="O559" s="39"/>
      <c r="P559" s="39"/>
      <c r="Q559" s="39"/>
      <c r="R559" s="39"/>
      <c r="S559" s="39"/>
      <c r="T559" s="39">
        <f>45818*0.0407/L559</f>
        <v>9323.9629999999997</v>
      </c>
      <c r="U559" s="39"/>
      <c r="V559" s="39"/>
      <c r="W559" s="60" t="s">
        <v>1765</v>
      </c>
    </row>
    <row r="560" spans="1:23" ht="102" x14ac:dyDescent="0.2">
      <c r="A560" s="1" t="s">
        <v>95</v>
      </c>
      <c r="B560" s="2" t="s">
        <v>24</v>
      </c>
      <c r="C560" s="2" t="s">
        <v>96</v>
      </c>
      <c r="D560" s="2" t="s">
        <v>97</v>
      </c>
      <c r="E560" s="2">
        <v>2021</v>
      </c>
      <c r="F560" s="2" t="s">
        <v>1791</v>
      </c>
      <c r="G560" s="2" t="s">
        <v>1668</v>
      </c>
      <c r="H560" s="2" t="s">
        <v>1669</v>
      </c>
      <c r="I560" s="1" t="s">
        <v>14</v>
      </c>
      <c r="J560" s="1" t="s">
        <v>2487</v>
      </c>
      <c r="L560" s="53">
        <v>0.2</v>
      </c>
      <c r="M560" s="39"/>
      <c r="N560" s="39"/>
      <c r="O560" s="39"/>
      <c r="P560" s="39"/>
      <c r="Q560" s="39"/>
      <c r="R560" s="39"/>
      <c r="S560" s="39"/>
      <c r="T560" s="39">
        <f>40865*0.0392/L560</f>
        <v>8009.5399999999991</v>
      </c>
      <c r="U560" s="39"/>
      <c r="V560" s="39"/>
      <c r="W560" s="60" t="s">
        <v>1765</v>
      </c>
    </row>
    <row r="561" spans="1:23" ht="102" x14ac:dyDescent="0.2">
      <c r="A561" s="1" t="s">
        <v>95</v>
      </c>
      <c r="B561" s="2" t="s">
        <v>24</v>
      </c>
      <c r="C561" s="2" t="s">
        <v>96</v>
      </c>
      <c r="D561" s="2" t="s">
        <v>97</v>
      </c>
      <c r="E561" s="2">
        <v>2021</v>
      </c>
      <c r="F561" s="2" t="s">
        <v>311</v>
      </c>
      <c r="G561" s="2" t="s">
        <v>1668</v>
      </c>
      <c r="H561" s="2" t="s">
        <v>1669</v>
      </c>
      <c r="I561" s="1" t="s">
        <v>14</v>
      </c>
      <c r="J561" s="1" t="s">
        <v>2488</v>
      </c>
      <c r="L561" s="53">
        <v>0.2</v>
      </c>
      <c r="M561" s="39"/>
      <c r="N561" s="39"/>
      <c r="O561" s="39"/>
      <c r="P561" s="39"/>
      <c r="Q561" s="39"/>
      <c r="R561" s="39"/>
      <c r="S561" s="39"/>
      <c r="T561" s="39">
        <f>36238*0.0455/L561</f>
        <v>8244.1449999999986</v>
      </c>
      <c r="U561" s="39"/>
      <c r="V561" s="39"/>
      <c r="W561" s="60" t="s">
        <v>1765</v>
      </c>
    </row>
    <row r="562" spans="1:23" ht="102" x14ac:dyDescent="0.2">
      <c r="A562" s="1" t="s">
        <v>95</v>
      </c>
      <c r="B562" s="2" t="s">
        <v>24</v>
      </c>
      <c r="C562" s="2" t="s">
        <v>96</v>
      </c>
      <c r="D562" s="2" t="s">
        <v>97</v>
      </c>
      <c r="E562" s="2">
        <v>2021</v>
      </c>
      <c r="F562" s="2" t="s">
        <v>1794</v>
      </c>
      <c r="G562" s="2" t="s">
        <v>1668</v>
      </c>
      <c r="H562" s="2" t="s">
        <v>1669</v>
      </c>
      <c r="I562" s="1" t="s">
        <v>14</v>
      </c>
      <c r="J562" s="1" t="s">
        <v>2489</v>
      </c>
      <c r="L562" s="53">
        <v>0.2</v>
      </c>
      <c r="M562" s="39"/>
      <c r="N562" s="39"/>
      <c r="O562" s="39"/>
      <c r="P562" s="39"/>
      <c r="Q562" s="39"/>
      <c r="R562" s="39"/>
      <c r="S562" s="39"/>
      <c r="T562" s="39">
        <f>39482*0.0435/L562</f>
        <v>8587.3349999999991</v>
      </c>
      <c r="U562" s="39"/>
      <c r="V562" s="39"/>
      <c r="W562" s="60" t="s">
        <v>1765</v>
      </c>
    </row>
    <row r="563" spans="1:23" ht="102" x14ac:dyDescent="0.2">
      <c r="A563" s="1" t="s">
        <v>95</v>
      </c>
      <c r="B563" s="2" t="s">
        <v>24</v>
      </c>
      <c r="C563" s="2" t="s">
        <v>96</v>
      </c>
      <c r="D563" s="2" t="s">
        <v>97</v>
      </c>
      <c r="E563" s="2">
        <v>2021</v>
      </c>
      <c r="F563" s="2" t="s">
        <v>1796</v>
      </c>
      <c r="G563" s="2" t="s">
        <v>1668</v>
      </c>
      <c r="H563" s="2" t="s">
        <v>1669</v>
      </c>
      <c r="I563" s="1" t="s">
        <v>14</v>
      </c>
      <c r="J563" s="1" t="s">
        <v>2490</v>
      </c>
      <c r="L563" s="53">
        <v>0.2</v>
      </c>
      <c r="M563" s="39"/>
      <c r="N563" s="39"/>
      <c r="O563" s="39"/>
      <c r="P563" s="39"/>
      <c r="Q563" s="39"/>
      <c r="R563" s="39"/>
      <c r="S563" s="39"/>
      <c r="T563" s="39">
        <f>41551*0.0385/L563</f>
        <v>7998.5675000000001</v>
      </c>
      <c r="U563" s="39"/>
      <c r="V563" s="39"/>
      <c r="W563" s="60" t="s">
        <v>1765</v>
      </c>
    </row>
    <row r="564" spans="1:23" ht="102" x14ac:dyDescent="0.2">
      <c r="A564" s="1" t="s">
        <v>95</v>
      </c>
      <c r="B564" s="2" t="s">
        <v>24</v>
      </c>
      <c r="C564" s="2" t="s">
        <v>96</v>
      </c>
      <c r="D564" s="2" t="s">
        <v>97</v>
      </c>
      <c r="E564" s="2">
        <v>2021</v>
      </c>
      <c r="F564" s="2" t="s">
        <v>1798</v>
      </c>
      <c r="G564" s="2" t="s">
        <v>1668</v>
      </c>
      <c r="H564" s="2" t="s">
        <v>1669</v>
      </c>
      <c r="I564" s="1" t="s">
        <v>14</v>
      </c>
      <c r="J564" s="1" t="s">
        <v>2491</v>
      </c>
      <c r="L564" s="53">
        <v>0.2</v>
      </c>
      <c r="M564" s="39"/>
      <c r="N564" s="39"/>
      <c r="O564" s="39"/>
      <c r="P564" s="39"/>
      <c r="Q564" s="39"/>
      <c r="R564" s="39"/>
      <c r="S564" s="39"/>
      <c r="T564" s="39">
        <f>42629*0.0402/L564</f>
        <v>8568.4290000000001</v>
      </c>
      <c r="U564" s="39"/>
      <c r="V564" s="39"/>
      <c r="W564" s="60" t="s">
        <v>1765</v>
      </c>
    </row>
    <row r="565" spans="1:23" ht="102" x14ac:dyDescent="0.2">
      <c r="A565" s="1" t="s">
        <v>103</v>
      </c>
      <c r="B565" s="2" t="s">
        <v>24</v>
      </c>
      <c r="C565" s="2" t="s">
        <v>96</v>
      </c>
      <c r="D565" s="2" t="s">
        <v>97</v>
      </c>
      <c r="E565" s="2">
        <v>2021</v>
      </c>
      <c r="F565" s="2" t="s">
        <v>1776</v>
      </c>
      <c r="G565" s="2" t="s">
        <v>1668</v>
      </c>
      <c r="H565" s="2" t="s">
        <v>1669</v>
      </c>
      <c r="I565" s="1" t="s">
        <v>14</v>
      </c>
      <c r="J565" s="1" t="s">
        <v>2480</v>
      </c>
      <c r="L565" s="53"/>
      <c r="M565" s="39"/>
      <c r="N565" s="39"/>
      <c r="O565" s="39"/>
      <c r="P565" s="39"/>
      <c r="Q565" s="39"/>
      <c r="R565" s="39"/>
      <c r="S565" s="39"/>
      <c r="T565" s="39"/>
      <c r="U565" s="39"/>
      <c r="V565" s="39"/>
      <c r="W565" s="60" t="s">
        <v>1709</v>
      </c>
    </row>
    <row r="566" spans="1:23" ht="102" x14ac:dyDescent="0.2">
      <c r="A566" s="1" t="s">
        <v>103</v>
      </c>
      <c r="B566" s="2" t="s">
        <v>24</v>
      </c>
      <c r="C566" s="2" t="s">
        <v>96</v>
      </c>
      <c r="D566" s="2" t="s">
        <v>97</v>
      </c>
      <c r="E566" s="2">
        <v>2021</v>
      </c>
      <c r="F566" s="2" t="s">
        <v>1779</v>
      </c>
      <c r="G566" s="2" t="s">
        <v>1668</v>
      </c>
      <c r="H566" s="2" t="s">
        <v>1669</v>
      </c>
      <c r="I566" s="1" t="s">
        <v>14</v>
      </c>
      <c r="J566" s="1" t="s">
        <v>2481</v>
      </c>
      <c r="L566" s="53"/>
      <c r="M566" s="39"/>
      <c r="N566" s="39"/>
      <c r="O566" s="39"/>
      <c r="P566" s="39"/>
      <c r="Q566" s="39"/>
      <c r="R566" s="39"/>
      <c r="S566" s="39"/>
      <c r="T566" s="39"/>
      <c r="U566" s="39"/>
      <c r="V566" s="39"/>
      <c r="W566" s="60" t="s">
        <v>1709</v>
      </c>
    </row>
    <row r="567" spans="1:23" ht="102" x14ac:dyDescent="0.2">
      <c r="A567" s="1" t="s">
        <v>103</v>
      </c>
      <c r="B567" s="2" t="s">
        <v>24</v>
      </c>
      <c r="C567" s="2" t="s">
        <v>96</v>
      </c>
      <c r="D567" s="2" t="s">
        <v>97</v>
      </c>
      <c r="E567" s="2">
        <v>2021</v>
      </c>
      <c r="F567" s="2" t="s">
        <v>1781</v>
      </c>
      <c r="G567" s="2" t="s">
        <v>1668</v>
      </c>
      <c r="H567" s="2" t="s">
        <v>1669</v>
      </c>
      <c r="I567" s="1" t="s">
        <v>14</v>
      </c>
      <c r="J567" s="1" t="s">
        <v>2482</v>
      </c>
      <c r="L567" s="53"/>
      <c r="M567" s="39"/>
      <c r="N567" s="39"/>
      <c r="O567" s="39"/>
      <c r="P567" s="39"/>
      <c r="Q567" s="39"/>
      <c r="R567" s="39"/>
      <c r="S567" s="39"/>
      <c r="T567" s="39"/>
      <c r="U567" s="39"/>
      <c r="V567" s="39"/>
      <c r="W567" s="60" t="s">
        <v>1709</v>
      </c>
    </row>
    <row r="568" spans="1:23" ht="102" x14ac:dyDescent="0.2">
      <c r="A568" s="1" t="s">
        <v>103</v>
      </c>
      <c r="B568" s="2" t="s">
        <v>24</v>
      </c>
      <c r="C568" s="2" t="s">
        <v>96</v>
      </c>
      <c r="D568" s="2" t="s">
        <v>97</v>
      </c>
      <c r="E568" s="2">
        <v>2021</v>
      </c>
      <c r="F568" s="2" t="s">
        <v>1783</v>
      </c>
      <c r="G568" s="2" t="s">
        <v>1668</v>
      </c>
      <c r="H568" s="2" t="s">
        <v>1669</v>
      </c>
      <c r="I568" s="1" t="s">
        <v>14</v>
      </c>
      <c r="J568" s="1" t="s">
        <v>2483</v>
      </c>
      <c r="L568" s="53"/>
      <c r="M568" s="39"/>
      <c r="N568" s="39"/>
      <c r="O568" s="39"/>
      <c r="P568" s="39"/>
      <c r="Q568" s="39"/>
      <c r="R568" s="39"/>
      <c r="S568" s="39"/>
      <c r="T568" s="39"/>
      <c r="U568" s="39"/>
      <c r="V568" s="39"/>
      <c r="W568" s="60" t="s">
        <v>1709</v>
      </c>
    </row>
    <row r="569" spans="1:23" ht="102" x14ac:dyDescent="0.2">
      <c r="A569" s="1" t="s">
        <v>103</v>
      </c>
      <c r="B569" s="2" t="s">
        <v>24</v>
      </c>
      <c r="C569" s="2" t="s">
        <v>96</v>
      </c>
      <c r="D569" s="2" t="s">
        <v>97</v>
      </c>
      <c r="E569" s="2">
        <v>2021</v>
      </c>
      <c r="F569" s="2" t="s">
        <v>1785</v>
      </c>
      <c r="G569" s="2" t="s">
        <v>1668</v>
      </c>
      <c r="H569" s="2" t="s">
        <v>1669</v>
      </c>
      <c r="I569" s="1" t="s">
        <v>14</v>
      </c>
      <c r="J569" s="1" t="s">
        <v>2484</v>
      </c>
      <c r="L569" s="53"/>
      <c r="M569" s="39"/>
      <c r="N569" s="39"/>
      <c r="O569" s="39"/>
      <c r="P569" s="39"/>
      <c r="Q569" s="39"/>
      <c r="R569" s="39"/>
      <c r="S569" s="39"/>
      <c r="T569" s="39"/>
      <c r="U569" s="39"/>
      <c r="V569" s="39"/>
      <c r="W569" s="60" t="s">
        <v>1709</v>
      </c>
    </row>
    <row r="570" spans="1:23" ht="102" x14ac:dyDescent="0.2">
      <c r="A570" s="1" t="s">
        <v>103</v>
      </c>
      <c r="B570" s="2" t="s">
        <v>24</v>
      </c>
      <c r="C570" s="2" t="s">
        <v>96</v>
      </c>
      <c r="D570" s="2" t="s">
        <v>97</v>
      </c>
      <c r="E570" s="2">
        <v>2021</v>
      </c>
      <c r="F570" s="2" t="s">
        <v>1787</v>
      </c>
      <c r="G570" s="2" t="s">
        <v>1668</v>
      </c>
      <c r="H570" s="2" t="s">
        <v>1669</v>
      </c>
      <c r="I570" s="1" t="s">
        <v>14</v>
      </c>
      <c r="J570" s="1" t="s">
        <v>2485</v>
      </c>
      <c r="L570" s="53"/>
      <c r="M570" s="39"/>
      <c r="N570" s="39"/>
      <c r="O570" s="39"/>
      <c r="P570" s="39"/>
      <c r="Q570" s="39"/>
      <c r="R570" s="39"/>
      <c r="S570" s="39"/>
      <c r="T570" s="39"/>
      <c r="U570" s="39"/>
      <c r="V570" s="39"/>
      <c r="W570" s="60" t="s">
        <v>1709</v>
      </c>
    </row>
    <row r="571" spans="1:23" ht="102" x14ac:dyDescent="0.2">
      <c r="A571" s="1" t="s">
        <v>103</v>
      </c>
      <c r="B571" s="2" t="s">
        <v>24</v>
      </c>
      <c r="C571" s="2" t="s">
        <v>96</v>
      </c>
      <c r="D571" s="2" t="s">
        <v>97</v>
      </c>
      <c r="E571" s="2">
        <v>2021</v>
      </c>
      <c r="F571" s="2" t="s">
        <v>1789</v>
      </c>
      <c r="G571" s="2" t="s">
        <v>1668</v>
      </c>
      <c r="H571" s="2" t="s">
        <v>1669</v>
      </c>
      <c r="I571" s="1" t="s">
        <v>14</v>
      </c>
      <c r="J571" s="1" t="s">
        <v>2486</v>
      </c>
      <c r="L571" s="53"/>
      <c r="M571" s="39"/>
      <c r="N571" s="39"/>
      <c r="O571" s="39"/>
      <c r="P571" s="39"/>
      <c r="Q571" s="39"/>
      <c r="R571" s="39"/>
      <c r="S571" s="39"/>
      <c r="T571" s="39"/>
      <c r="U571" s="39"/>
      <c r="V571" s="39"/>
      <c r="W571" s="60" t="s">
        <v>1709</v>
      </c>
    </row>
    <row r="572" spans="1:23" ht="102" x14ac:dyDescent="0.2">
      <c r="A572" s="1" t="s">
        <v>103</v>
      </c>
      <c r="B572" s="2" t="s">
        <v>24</v>
      </c>
      <c r="C572" s="2" t="s">
        <v>96</v>
      </c>
      <c r="D572" s="2" t="s">
        <v>97</v>
      </c>
      <c r="E572" s="2">
        <v>2021</v>
      </c>
      <c r="F572" s="2" t="s">
        <v>1791</v>
      </c>
      <c r="G572" s="2" t="s">
        <v>1668</v>
      </c>
      <c r="H572" s="2" t="s">
        <v>1669</v>
      </c>
      <c r="I572" s="1" t="s">
        <v>14</v>
      </c>
      <c r="J572" s="1" t="s">
        <v>2487</v>
      </c>
      <c r="L572" s="53"/>
      <c r="M572" s="39"/>
      <c r="N572" s="39"/>
      <c r="O572" s="39"/>
      <c r="P572" s="39"/>
      <c r="Q572" s="39"/>
      <c r="R572" s="39"/>
      <c r="S572" s="39"/>
      <c r="T572" s="39"/>
      <c r="U572" s="39"/>
      <c r="V572" s="39"/>
      <c r="W572" s="60" t="s">
        <v>1709</v>
      </c>
    </row>
    <row r="573" spans="1:23" ht="102" x14ac:dyDescent="0.2">
      <c r="A573" s="1" t="s">
        <v>103</v>
      </c>
      <c r="B573" s="2" t="s">
        <v>24</v>
      </c>
      <c r="C573" s="2" t="s">
        <v>96</v>
      </c>
      <c r="D573" s="2" t="s">
        <v>97</v>
      </c>
      <c r="E573" s="2">
        <v>2021</v>
      </c>
      <c r="F573" s="2" t="s">
        <v>311</v>
      </c>
      <c r="G573" s="2" t="s">
        <v>1668</v>
      </c>
      <c r="H573" s="2" t="s">
        <v>1669</v>
      </c>
      <c r="I573" s="1" t="s">
        <v>14</v>
      </c>
      <c r="J573" s="1" t="s">
        <v>2488</v>
      </c>
      <c r="L573" s="53"/>
      <c r="M573" s="39"/>
      <c r="N573" s="39"/>
      <c r="O573" s="39"/>
      <c r="P573" s="39"/>
      <c r="Q573" s="39"/>
      <c r="R573" s="39"/>
      <c r="S573" s="39"/>
      <c r="T573" s="39"/>
      <c r="U573" s="39"/>
      <c r="V573" s="39"/>
      <c r="W573" s="60" t="s">
        <v>1709</v>
      </c>
    </row>
    <row r="574" spans="1:23" ht="102" x14ac:dyDescent="0.2">
      <c r="A574" s="1" t="s">
        <v>103</v>
      </c>
      <c r="B574" s="2" t="s">
        <v>24</v>
      </c>
      <c r="C574" s="2" t="s">
        <v>96</v>
      </c>
      <c r="D574" s="2" t="s">
        <v>97</v>
      </c>
      <c r="E574" s="2">
        <v>2021</v>
      </c>
      <c r="F574" s="2" t="s">
        <v>1794</v>
      </c>
      <c r="G574" s="2" t="s">
        <v>1668</v>
      </c>
      <c r="H574" s="2" t="s">
        <v>1669</v>
      </c>
      <c r="I574" s="1" t="s">
        <v>14</v>
      </c>
      <c r="J574" s="1" t="s">
        <v>2489</v>
      </c>
      <c r="L574" s="53"/>
      <c r="M574" s="39"/>
      <c r="N574" s="39"/>
      <c r="O574" s="39"/>
      <c r="P574" s="39"/>
      <c r="Q574" s="39"/>
      <c r="R574" s="39"/>
      <c r="S574" s="39"/>
      <c r="T574" s="39"/>
      <c r="U574" s="39"/>
      <c r="V574" s="39"/>
      <c r="W574" s="60" t="s">
        <v>1709</v>
      </c>
    </row>
    <row r="575" spans="1:23" ht="102" x14ac:dyDescent="0.2">
      <c r="A575" s="1" t="s">
        <v>103</v>
      </c>
      <c r="B575" s="2" t="s">
        <v>24</v>
      </c>
      <c r="C575" s="2" t="s">
        <v>96</v>
      </c>
      <c r="D575" s="2" t="s">
        <v>97</v>
      </c>
      <c r="E575" s="2">
        <v>2021</v>
      </c>
      <c r="F575" s="2" t="s">
        <v>1796</v>
      </c>
      <c r="G575" s="2" t="s">
        <v>1668</v>
      </c>
      <c r="H575" s="2" t="s">
        <v>1669</v>
      </c>
      <c r="I575" s="1" t="s">
        <v>14</v>
      </c>
      <c r="J575" s="1" t="s">
        <v>2490</v>
      </c>
      <c r="L575" s="53"/>
      <c r="M575" s="39"/>
      <c r="N575" s="39"/>
      <c r="O575" s="39"/>
      <c r="P575" s="39"/>
      <c r="Q575" s="39"/>
      <c r="R575" s="39"/>
      <c r="S575" s="39"/>
      <c r="T575" s="39"/>
      <c r="U575" s="39"/>
      <c r="V575" s="39"/>
      <c r="W575" s="60" t="s">
        <v>1709</v>
      </c>
    </row>
    <row r="576" spans="1:23" ht="102" x14ac:dyDescent="0.2">
      <c r="A576" s="1" t="s">
        <v>103</v>
      </c>
      <c r="B576" s="2" t="s">
        <v>24</v>
      </c>
      <c r="C576" s="2" t="s">
        <v>96</v>
      </c>
      <c r="D576" s="2" t="s">
        <v>97</v>
      </c>
      <c r="E576" s="2">
        <v>2021</v>
      </c>
      <c r="F576" s="2" t="s">
        <v>1798</v>
      </c>
      <c r="G576" s="2" t="s">
        <v>1668</v>
      </c>
      <c r="H576" s="2" t="s">
        <v>1669</v>
      </c>
      <c r="I576" s="1" t="s">
        <v>14</v>
      </c>
      <c r="J576" s="1" t="s">
        <v>2491</v>
      </c>
      <c r="L576" s="53"/>
      <c r="M576" s="39"/>
      <c r="N576" s="39"/>
      <c r="O576" s="39"/>
      <c r="P576" s="39"/>
      <c r="Q576" s="39"/>
      <c r="R576" s="39"/>
      <c r="S576" s="39"/>
      <c r="T576" s="39"/>
      <c r="U576" s="39"/>
      <c r="V576" s="39"/>
      <c r="W576" s="60" t="s">
        <v>1709</v>
      </c>
    </row>
    <row r="577" spans="1:23" ht="25.5" x14ac:dyDescent="0.2">
      <c r="A577" s="1" t="s">
        <v>59</v>
      </c>
      <c r="B577" s="2" t="s">
        <v>16</v>
      </c>
      <c r="C577" s="2" t="s">
        <v>60</v>
      </c>
      <c r="D577" s="2" t="s">
        <v>61</v>
      </c>
      <c r="E577" s="2">
        <v>2021</v>
      </c>
      <c r="F577" s="2" t="s">
        <v>1776</v>
      </c>
      <c r="G577" s="2" t="s">
        <v>1667</v>
      </c>
      <c r="H577" s="2" t="s">
        <v>1669</v>
      </c>
      <c r="I577" s="1" t="s">
        <v>14</v>
      </c>
      <c r="J577" s="1" t="s">
        <v>2492</v>
      </c>
      <c r="L577" s="55">
        <v>0.26</v>
      </c>
      <c r="M577" s="39"/>
      <c r="N577" s="39"/>
      <c r="O577" s="39">
        <v>410.1</v>
      </c>
      <c r="P577" s="39"/>
      <c r="Q577" s="39"/>
      <c r="R577" s="39"/>
      <c r="S577" s="39"/>
      <c r="T577" s="39"/>
      <c r="U577" s="39"/>
      <c r="V577" s="39"/>
      <c r="W577" s="60" t="s">
        <v>1710</v>
      </c>
    </row>
    <row r="578" spans="1:23" ht="25.5" x14ac:dyDescent="0.2">
      <c r="A578" s="1" t="s">
        <v>59</v>
      </c>
      <c r="B578" s="2" t="s">
        <v>16</v>
      </c>
      <c r="C578" s="2" t="s">
        <v>60</v>
      </c>
      <c r="D578" s="2" t="s">
        <v>61</v>
      </c>
      <c r="E578" s="2">
        <v>2021</v>
      </c>
      <c r="F578" s="2" t="s">
        <v>1779</v>
      </c>
      <c r="G578" s="2" t="s">
        <v>1667</v>
      </c>
      <c r="H578" s="2" t="s">
        <v>1669</v>
      </c>
      <c r="I578" s="1" t="s">
        <v>14</v>
      </c>
      <c r="J578" s="1" t="s">
        <v>2493</v>
      </c>
      <c r="L578" s="55">
        <v>0.23799999999999999</v>
      </c>
      <c r="M578" s="39"/>
      <c r="N578" s="39"/>
      <c r="O578" s="39">
        <v>407.6</v>
      </c>
      <c r="P578" s="39"/>
      <c r="Q578" s="39"/>
      <c r="R578" s="39"/>
      <c r="S578" s="39"/>
      <c r="T578" s="39"/>
      <c r="U578" s="39"/>
      <c r="V578" s="39"/>
      <c r="W578" s="60" t="s">
        <v>1710</v>
      </c>
    </row>
    <row r="579" spans="1:23" ht="25.5" x14ac:dyDescent="0.2">
      <c r="A579" s="1" t="s">
        <v>59</v>
      </c>
      <c r="B579" s="2" t="s">
        <v>16</v>
      </c>
      <c r="C579" s="2" t="s">
        <v>60</v>
      </c>
      <c r="D579" s="2" t="s">
        <v>61</v>
      </c>
      <c r="E579" s="2">
        <v>2021</v>
      </c>
      <c r="F579" s="2" t="s">
        <v>1781</v>
      </c>
      <c r="G579" s="2" t="s">
        <v>1667</v>
      </c>
      <c r="H579" s="2" t="s">
        <v>1669</v>
      </c>
      <c r="I579" s="1" t="s">
        <v>14</v>
      </c>
      <c r="J579" s="1" t="s">
        <v>2494</v>
      </c>
      <c r="L579" s="55">
        <v>0.30299999999999999</v>
      </c>
      <c r="M579" s="39"/>
      <c r="N579" s="39"/>
      <c r="O579" s="39">
        <v>391.3</v>
      </c>
      <c r="P579" s="39"/>
      <c r="Q579" s="39"/>
      <c r="R579" s="39"/>
      <c r="S579" s="39"/>
      <c r="T579" s="39"/>
      <c r="U579" s="39"/>
      <c r="V579" s="39"/>
      <c r="W579" s="60" t="s">
        <v>1710</v>
      </c>
    </row>
    <row r="580" spans="1:23" ht="25.5" x14ac:dyDescent="0.2">
      <c r="A580" s="1" t="s">
        <v>59</v>
      </c>
      <c r="B580" s="2" t="s">
        <v>16</v>
      </c>
      <c r="C580" s="2" t="s">
        <v>60</v>
      </c>
      <c r="D580" s="2" t="s">
        <v>61</v>
      </c>
      <c r="E580" s="2">
        <v>2021</v>
      </c>
      <c r="F580" s="2" t="s">
        <v>1783</v>
      </c>
      <c r="G580" s="2" t="s">
        <v>1667</v>
      </c>
      <c r="H580" s="2" t="s">
        <v>1669</v>
      </c>
      <c r="I580" s="1" t="s">
        <v>14</v>
      </c>
      <c r="J580" s="1" t="s">
        <v>2495</v>
      </c>
      <c r="L580" s="55">
        <v>0.34970000000000001</v>
      </c>
      <c r="M580" s="39"/>
      <c r="N580" s="39"/>
      <c r="O580" s="39">
        <v>273.5</v>
      </c>
      <c r="P580" s="39"/>
      <c r="Q580" s="39"/>
      <c r="R580" s="39"/>
      <c r="S580" s="39"/>
      <c r="T580" s="39"/>
      <c r="U580" s="39"/>
      <c r="V580" s="39"/>
      <c r="W580" s="60" t="s">
        <v>1710</v>
      </c>
    </row>
    <row r="581" spans="1:23" ht="25.5" x14ac:dyDescent="0.2">
      <c r="A581" s="1" t="s">
        <v>59</v>
      </c>
      <c r="B581" s="2" t="s">
        <v>16</v>
      </c>
      <c r="C581" s="2" t="s">
        <v>60</v>
      </c>
      <c r="D581" s="2" t="s">
        <v>61</v>
      </c>
      <c r="E581" s="2">
        <v>2021</v>
      </c>
      <c r="F581" s="2" t="s">
        <v>1785</v>
      </c>
      <c r="G581" s="2" t="s">
        <v>1667</v>
      </c>
      <c r="H581" s="2" t="s">
        <v>1669</v>
      </c>
      <c r="I581" s="1" t="s">
        <v>14</v>
      </c>
      <c r="J581" s="1" t="s">
        <v>2496</v>
      </c>
      <c r="L581" s="55">
        <v>0.34010000000000001</v>
      </c>
      <c r="M581" s="39"/>
      <c r="N581" s="39"/>
      <c r="O581" s="39">
        <v>256.10000000000002</v>
      </c>
      <c r="P581" s="39"/>
      <c r="Q581" s="39"/>
      <c r="R581" s="39"/>
      <c r="S581" s="39"/>
      <c r="T581" s="39"/>
      <c r="U581" s="39"/>
      <c r="V581" s="39"/>
      <c r="W581" s="60" t="s">
        <v>1710</v>
      </c>
    </row>
    <row r="582" spans="1:23" ht="25.5" x14ac:dyDescent="0.2">
      <c r="A582" s="1" t="s">
        <v>59</v>
      </c>
      <c r="B582" s="2" t="s">
        <v>16</v>
      </c>
      <c r="C582" s="2" t="s">
        <v>60</v>
      </c>
      <c r="D582" s="2" t="s">
        <v>61</v>
      </c>
      <c r="E582" s="2">
        <v>2021</v>
      </c>
      <c r="F582" s="2" t="s">
        <v>1787</v>
      </c>
      <c r="G582" s="2" t="s">
        <v>1667</v>
      </c>
      <c r="H582" s="2" t="s">
        <v>1669</v>
      </c>
      <c r="I582" s="1" t="s">
        <v>14</v>
      </c>
      <c r="J582" s="1" t="s">
        <v>2497</v>
      </c>
      <c r="L582" s="55">
        <v>0.35539999999999999</v>
      </c>
      <c r="M582" s="39"/>
      <c r="N582" s="39"/>
      <c r="O582" s="39">
        <v>388.5</v>
      </c>
      <c r="P582" s="39"/>
      <c r="Q582" s="39"/>
      <c r="R582" s="39"/>
      <c r="S582" s="39"/>
      <c r="T582" s="39"/>
      <c r="U582" s="39"/>
      <c r="V582" s="39"/>
      <c r="W582" s="60" t="s">
        <v>1710</v>
      </c>
    </row>
    <row r="583" spans="1:23" ht="25.5" x14ac:dyDescent="0.2">
      <c r="A583" s="1" t="s">
        <v>59</v>
      </c>
      <c r="B583" s="2" t="s">
        <v>16</v>
      </c>
      <c r="C583" s="2" t="s">
        <v>60</v>
      </c>
      <c r="D583" s="2" t="s">
        <v>61</v>
      </c>
      <c r="E583" s="2">
        <v>2021</v>
      </c>
      <c r="F583" s="2" t="s">
        <v>1789</v>
      </c>
      <c r="G583" s="2" t="s">
        <v>1667</v>
      </c>
      <c r="H583" s="2" t="s">
        <v>1669</v>
      </c>
      <c r="I583" s="1" t="s">
        <v>14</v>
      </c>
      <c r="J583" s="1" t="s">
        <v>2498</v>
      </c>
      <c r="L583" s="55">
        <v>0.3488</v>
      </c>
      <c r="M583" s="39"/>
      <c r="N583" s="39"/>
      <c r="O583" s="39">
        <v>444.2</v>
      </c>
      <c r="P583" s="39"/>
      <c r="Q583" s="39"/>
      <c r="R583" s="39"/>
      <c r="S583" s="39"/>
      <c r="T583" s="39"/>
      <c r="U583" s="39"/>
      <c r="V583" s="39"/>
      <c r="W583" s="60" t="s">
        <v>1710</v>
      </c>
    </row>
    <row r="584" spans="1:23" ht="25.5" x14ac:dyDescent="0.2">
      <c r="A584" s="1" t="s">
        <v>59</v>
      </c>
      <c r="B584" s="2" t="s">
        <v>16</v>
      </c>
      <c r="C584" s="2" t="s">
        <v>60</v>
      </c>
      <c r="D584" s="2" t="s">
        <v>61</v>
      </c>
      <c r="E584" s="2">
        <v>2021</v>
      </c>
      <c r="F584" s="2" t="s">
        <v>1791</v>
      </c>
      <c r="G584" s="2" t="s">
        <v>1667</v>
      </c>
      <c r="H584" s="2" t="s">
        <v>1669</v>
      </c>
      <c r="I584" s="1" t="s">
        <v>14</v>
      </c>
      <c r="J584" s="1" t="s">
        <v>2499</v>
      </c>
      <c r="L584" s="55">
        <v>0.35849999999999999</v>
      </c>
      <c r="M584" s="39"/>
      <c r="N584" s="39"/>
      <c r="O584" s="39">
        <v>385.1</v>
      </c>
      <c r="P584" s="39"/>
      <c r="Q584" s="39"/>
      <c r="R584" s="39"/>
      <c r="S584" s="39"/>
      <c r="T584" s="39"/>
      <c r="U584" s="39"/>
      <c r="V584" s="39"/>
      <c r="W584" s="60" t="s">
        <v>1710</v>
      </c>
    </row>
    <row r="585" spans="1:23" ht="25.5" x14ac:dyDescent="0.2">
      <c r="A585" s="1" t="s">
        <v>59</v>
      </c>
      <c r="B585" s="2" t="s">
        <v>16</v>
      </c>
      <c r="C585" s="2" t="s">
        <v>60</v>
      </c>
      <c r="D585" s="2" t="s">
        <v>61</v>
      </c>
      <c r="E585" s="2">
        <v>2021</v>
      </c>
      <c r="F585" s="2" t="s">
        <v>311</v>
      </c>
      <c r="G585" s="2" t="s">
        <v>1667</v>
      </c>
      <c r="H585" s="2" t="s">
        <v>1669</v>
      </c>
      <c r="I585" s="1" t="s">
        <v>14</v>
      </c>
      <c r="J585" s="1" t="s">
        <v>2500</v>
      </c>
      <c r="L585" s="55">
        <v>0.3614</v>
      </c>
      <c r="M585" s="39"/>
      <c r="N585" s="39"/>
      <c r="O585" s="39">
        <v>397.6</v>
      </c>
      <c r="P585" s="39"/>
      <c r="Q585" s="39"/>
      <c r="R585" s="39"/>
      <c r="S585" s="39"/>
      <c r="T585" s="39"/>
      <c r="U585" s="39"/>
      <c r="V585" s="39"/>
      <c r="W585" s="60" t="s">
        <v>1710</v>
      </c>
    </row>
    <row r="586" spans="1:23" ht="25.5" x14ac:dyDescent="0.2">
      <c r="A586" s="1" t="s">
        <v>59</v>
      </c>
      <c r="B586" s="2" t="s">
        <v>16</v>
      </c>
      <c r="C586" s="2" t="s">
        <v>60</v>
      </c>
      <c r="D586" s="2" t="s">
        <v>61</v>
      </c>
      <c r="E586" s="2">
        <v>2021</v>
      </c>
      <c r="F586" s="2" t="s">
        <v>1794</v>
      </c>
      <c r="G586" s="2" t="s">
        <v>1667</v>
      </c>
      <c r="H586" s="2" t="s">
        <v>1669</v>
      </c>
      <c r="I586" s="1" t="s">
        <v>14</v>
      </c>
      <c r="J586" s="1" t="s">
        <v>2501</v>
      </c>
      <c r="L586" s="55">
        <v>0.35630000000000001</v>
      </c>
      <c r="M586" s="39"/>
      <c r="N586" s="39"/>
      <c r="O586" s="39">
        <v>391.2</v>
      </c>
      <c r="P586" s="39"/>
      <c r="Q586" s="39"/>
      <c r="R586" s="39"/>
      <c r="S586" s="39"/>
      <c r="T586" s="39"/>
      <c r="U586" s="39"/>
      <c r="V586" s="39"/>
      <c r="W586" s="60" t="s">
        <v>1710</v>
      </c>
    </row>
    <row r="587" spans="1:23" ht="25.5" x14ac:dyDescent="0.2">
      <c r="A587" s="1" t="s">
        <v>59</v>
      </c>
      <c r="B587" s="2" t="s">
        <v>16</v>
      </c>
      <c r="C587" s="2" t="s">
        <v>60</v>
      </c>
      <c r="D587" s="2" t="s">
        <v>61</v>
      </c>
      <c r="E587" s="2">
        <v>2021</v>
      </c>
      <c r="F587" s="2" t="s">
        <v>1796</v>
      </c>
      <c r="G587" s="2" t="s">
        <v>1667</v>
      </c>
      <c r="H587" s="2" t="s">
        <v>1669</v>
      </c>
      <c r="I587" s="1" t="s">
        <v>14</v>
      </c>
      <c r="J587" s="1" t="s">
        <v>2502</v>
      </c>
      <c r="L587" s="55">
        <v>0.316</v>
      </c>
      <c r="M587" s="39"/>
      <c r="N587" s="39"/>
      <c r="O587" s="39">
        <v>395.8</v>
      </c>
      <c r="P587" s="39"/>
      <c r="Q587" s="39"/>
      <c r="R587" s="39"/>
      <c r="S587" s="39"/>
      <c r="T587" s="39"/>
      <c r="U587" s="39"/>
      <c r="V587" s="39"/>
      <c r="W587" s="60" t="s">
        <v>1710</v>
      </c>
    </row>
    <row r="588" spans="1:23" ht="25.5" x14ac:dyDescent="0.2">
      <c r="A588" s="1" t="s">
        <v>59</v>
      </c>
      <c r="B588" s="2" t="s">
        <v>16</v>
      </c>
      <c r="C588" s="2" t="s">
        <v>60</v>
      </c>
      <c r="D588" s="2" t="s">
        <v>61</v>
      </c>
      <c r="E588" s="2">
        <v>2021</v>
      </c>
      <c r="F588" s="2" t="s">
        <v>1798</v>
      </c>
      <c r="G588" s="2" t="s">
        <v>1667</v>
      </c>
      <c r="H588" s="2" t="s">
        <v>1669</v>
      </c>
      <c r="I588" s="1" t="s">
        <v>14</v>
      </c>
      <c r="J588" s="1" t="s">
        <v>2503</v>
      </c>
      <c r="L588" s="55">
        <v>0.30259999999999998</v>
      </c>
      <c r="M588" s="39"/>
      <c r="N588" s="39"/>
      <c r="O588" s="39">
        <v>459.3</v>
      </c>
      <c r="P588" s="39"/>
      <c r="Q588" s="39"/>
      <c r="R588" s="39"/>
      <c r="S588" s="39"/>
      <c r="T588" s="39"/>
      <c r="U588" s="39"/>
      <c r="V588" s="39"/>
      <c r="W588" s="60" t="s">
        <v>1710</v>
      </c>
    </row>
    <row r="589" spans="1:23" ht="178.5" x14ac:dyDescent="0.2">
      <c r="A589" s="1" t="s">
        <v>2504</v>
      </c>
      <c r="B589" s="2" t="s">
        <v>196</v>
      </c>
      <c r="C589" s="2" t="s">
        <v>2505</v>
      </c>
      <c r="D589" s="2" t="s">
        <v>230</v>
      </c>
      <c r="E589" s="2">
        <v>2021</v>
      </c>
      <c r="F589" s="2" t="s">
        <v>1791</v>
      </c>
      <c r="G589" s="2" t="s">
        <v>1669</v>
      </c>
      <c r="H589" s="2" t="s">
        <v>1669</v>
      </c>
      <c r="I589" s="1" t="s">
        <v>2506</v>
      </c>
      <c r="J589" s="1" t="s">
        <v>2507</v>
      </c>
      <c r="L589" s="53">
        <v>0.27</v>
      </c>
      <c r="M589" s="39"/>
      <c r="N589" s="39"/>
      <c r="O589" s="39">
        <v>513.15</v>
      </c>
      <c r="P589" s="39"/>
      <c r="Q589" s="39"/>
      <c r="R589" s="39"/>
      <c r="S589" s="39"/>
      <c r="T589" s="39"/>
      <c r="U589" s="39"/>
      <c r="V589" s="39"/>
      <c r="W589" s="60"/>
    </row>
    <row r="590" spans="1:23" ht="229.5" x14ac:dyDescent="0.2">
      <c r="A590" s="1" t="s">
        <v>2504</v>
      </c>
      <c r="B590" s="2" t="s">
        <v>196</v>
      </c>
      <c r="C590" s="2" t="s">
        <v>2505</v>
      </c>
      <c r="D590" s="2" t="s">
        <v>230</v>
      </c>
      <c r="E590" s="2">
        <v>2021</v>
      </c>
      <c r="F590" s="2" t="s">
        <v>311</v>
      </c>
      <c r="G590" s="2" t="s">
        <v>1669</v>
      </c>
      <c r="H590" s="2" t="s">
        <v>1669</v>
      </c>
      <c r="I590" s="1" t="s">
        <v>2508</v>
      </c>
      <c r="J590" s="1" t="s">
        <v>2509</v>
      </c>
      <c r="L590" s="53">
        <v>0.36599999999999999</v>
      </c>
      <c r="M590" s="39"/>
      <c r="N590" s="39"/>
      <c r="O590" s="39">
        <f>211.98+338.32+383.28+168.21</f>
        <v>1101.79</v>
      </c>
      <c r="P590" s="39"/>
      <c r="Q590" s="39"/>
      <c r="R590" s="39"/>
      <c r="S590" s="39"/>
      <c r="T590" s="39"/>
      <c r="U590" s="39"/>
      <c r="V590" s="39"/>
      <c r="W590" s="60"/>
    </row>
    <row r="591" spans="1:23" ht="51" x14ac:dyDescent="0.2">
      <c r="A591" s="1" t="s">
        <v>281</v>
      </c>
      <c r="B591" s="2" t="s">
        <v>196</v>
      </c>
      <c r="C591" s="2" t="s">
        <v>282</v>
      </c>
      <c r="D591" s="2" t="s">
        <v>283</v>
      </c>
      <c r="E591" s="2">
        <v>2021</v>
      </c>
      <c r="F591" s="2" t="s">
        <v>1794</v>
      </c>
      <c r="G591" s="2" t="s">
        <v>1668</v>
      </c>
      <c r="H591" s="2" t="s">
        <v>1669</v>
      </c>
      <c r="I591" s="1" t="s">
        <v>14</v>
      </c>
      <c r="J591" s="1" t="s">
        <v>2510</v>
      </c>
      <c r="L591" s="53">
        <v>0.38</v>
      </c>
      <c r="M591" s="39"/>
      <c r="N591" s="39"/>
      <c r="O591" s="39">
        <v>739</v>
      </c>
      <c r="P591" s="39"/>
      <c r="Q591" s="39"/>
      <c r="R591" s="39"/>
      <c r="S591" s="39"/>
      <c r="T591" s="39"/>
      <c r="U591" s="39"/>
      <c r="V591" s="39"/>
      <c r="W591" s="60"/>
    </row>
    <row r="592" spans="1:23" ht="127.5" x14ac:dyDescent="0.2">
      <c r="A592" s="1" t="s">
        <v>304</v>
      </c>
      <c r="B592" s="2" t="s">
        <v>196</v>
      </c>
      <c r="C592" s="2" t="s">
        <v>282</v>
      </c>
      <c r="D592" s="2" t="s">
        <v>283</v>
      </c>
      <c r="E592" s="2">
        <v>2021</v>
      </c>
      <c r="F592" s="2" t="s">
        <v>311</v>
      </c>
      <c r="G592" s="2" t="s">
        <v>1668</v>
      </c>
      <c r="H592" s="2" t="s">
        <v>1669</v>
      </c>
      <c r="I592" s="1" t="s">
        <v>2511</v>
      </c>
      <c r="J592" s="1" t="s">
        <v>2512</v>
      </c>
      <c r="L592" s="53">
        <v>0.27400000000000002</v>
      </c>
      <c r="M592" s="39"/>
      <c r="N592" s="39"/>
      <c r="O592" s="39">
        <v>350</v>
      </c>
      <c r="P592" s="39"/>
      <c r="Q592" s="39"/>
      <c r="R592" s="39"/>
      <c r="S592" s="39"/>
      <c r="T592" s="39"/>
      <c r="U592" s="39"/>
      <c r="V592" s="39"/>
      <c r="W592" s="60"/>
    </row>
    <row r="593" spans="1:23" ht="51" x14ac:dyDescent="0.2">
      <c r="A593" s="1" t="s">
        <v>237</v>
      </c>
      <c r="B593" s="2" t="s">
        <v>232</v>
      </c>
      <c r="C593" s="2" t="s">
        <v>238</v>
      </c>
      <c r="D593" s="2" t="s">
        <v>58</v>
      </c>
      <c r="E593" s="2">
        <v>2021</v>
      </c>
      <c r="F593" s="2" t="s">
        <v>1785</v>
      </c>
      <c r="G593" s="2" t="s">
        <v>1669</v>
      </c>
      <c r="H593" s="2" t="s">
        <v>1669</v>
      </c>
      <c r="I593" s="1" t="s">
        <v>2513</v>
      </c>
      <c r="J593" s="1" t="s">
        <v>2514</v>
      </c>
      <c r="L593" s="53"/>
      <c r="M593" s="39"/>
      <c r="N593" s="39"/>
      <c r="O593" s="39"/>
      <c r="P593" s="39"/>
      <c r="Q593" s="39"/>
      <c r="R593" s="39"/>
      <c r="S593" s="39"/>
      <c r="T593" s="39"/>
      <c r="U593" s="39"/>
      <c r="V593" s="39"/>
      <c r="W593" s="60" t="s">
        <v>1697</v>
      </c>
    </row>
    <row r="594" spans="1:23" ht="76.5" x14ac:dyDescent="0.2">
      <c r="A594" s="1" t="s">
        <v>237</v>
      </c>
      <c r="B594" s="2" t="s">
        <v>232</v>
      </c>
      <c r="C594" s="2" t="s">
        <v>238</v>
      </c>
      <c r="D594" s="2" t="s">
        <v>58</v>
      </c>
      <c r="E594" s="2">
        <v>2021</v>
      </c>
      <c r="F594" s="2" t="s">
        <v>1791</v>
      </c>
      <c r="G594" s="2" t="s">
        <v>1669</v>
      </c>
      <c r="H594" s="2" t="s">
        <v>1669</v>
      </c>
      <c r="I594" s="1" t="s">
        <v>2515</v>
      </c>
      <c r="J594" s="1" t="s">
        <v>2516</v>
      </c>
      <c r="L594" s="53"/>
      <c r="M594" s="39"/>
      <c r="N594" s="39"/>
      <c r="O594" s="39"/>
      <c r="P594" s="39"/>
      <c r="Q594" s="39"/>
      <c r="R594" s="39"/>
      <c r="S594" s="39"/>
      <c r="T594" s="39"/>
      <c r="U594" s="39"/>
      <c r="V594" s="39"/>
      <c r="W594" s="60" t="s">
        <v>1697</v>
      </c>
    </row>
    <row r="595" spans="1:23" ht="38.25" x14ac:dyDescent="0.2">
      <c r="A595" s="1" t="s">
        <v>2517</v>
      </c>
      <c r="B595" s="2" t="s">
        <v>271</v>
      </c>
      <c r="C595" s="2" t="s">
        <v>2518</v>
      </c>
      <c r="D595" s="2" t="s">
        <v>184</v>
      </c>
      <c r="E595" s="2">
        <v>2021</v>
      </c>
      <c r="F595" s="2" t="s">
        <v>1796</v>
      </c>
      <c r="G595" s="2" t="s">
        <v>1669</v>
      </c>
      <c r="H595" s="2" t="s">
        <v>1668</v>
      </c>
      <c r="I595" s="1" t="s">
        <v>2519</v>
      </c>
      <c r="J595" s="1" t="s">
        <v>14</v>
      </c>
      <c r="L595" s="53"/>
      <c r="M595" s="39"/>
      <c r="N595" s="39"/>
      <c r="O595" s="39"/>
      <c r="P595" s="39"/>
      <c r="Q595" s="39"/>
      <c r="R595" s="39"/>
      <c r="S595" s="39"/>
      <c r="T595" s="39"/>
      <c r="U595" s="39"/>
      <c r="V595" s="39"/>
      <c r="W595" s="60" t="s">
        <v>1695</v>
      </c>
    </row>
    <row r="596" spans="1:23" ht="102" x14ac:dyDescent="0.2">
      <c r="A596" s="1" t="s">
        <v>2520</v>
      </c>
      <c r="B596" s="2" t="s">
        <v>196</v>
      </c>
      <c r="C596" s="2" t="s">
        <v>2521</v>
      </c>
      <c r="D596" s="2" t="s">
        <v>355</v>
      </c>
      <c r="E596" s="2">
        <v>2021</v>
      </c>
      <c r="F596" s="2" t="s">
        <v>311</v>
      </c>
      <c r="G596" s="2" t="s">
        <v>1669</v>
      </c>
      <c r="H596" s="2" t="s">
        <v>1669</v>
      </c>
      <c r="I596" s="1" t="s">
        <v>2522</v>
      </c>
      <c r="J596" s="1" t="s">
        <v>2523</v>
      </c>
      <c r="L596" s="53">
        <v>4.9200000000000001E-2</v>
      </c>
      <c r="M596" s="39"/>
      <c r="N596" s="39"/>
      <c r="O596" s="39">
        <v>8859.6</v>
      </c>
      <c r="P596" s="39"/>
      <c r="Q596" s="39"/>
      <c r="R596" s="39"/>
      <c r="S596" s="39"/>
      <c r="T596" s="39"/>
      <c r="U596" s="39"/>
      <c r="V596" s="39"/>
      <c r="W596" s="60" t="s">
        <v>1699</v>
      </c>
    </row>
    <row r="597" spans="1:23" ht="63.75" x14ac:dyDescent="0.2">
      <c r="A597" s="1" t="s">
        <v>451</v>
      </c>
      <c r="B597" s="2" t="s">
        <v>32</v>
      </c>
      <c r="C597" s="2" t="s">
        <v>424</v>
      </c>
      <c r="D597" s="2" t="s">
        <v>425</v>
      </c>
      <c r="E597" s="2">
        <v>2021</v>
      </c>
      <c r="F597" s="2" t="s">
        <v>1776</v>
      </c>
      <c r="G597" s="2" t="s">
        <v>1669</v>
      </c>
      <c r="H597" s="2" t="s">
        <v>1669</v>
      </c>
      <c r="I597" s="1" t="s">
        <v>2524</v>
      </c>
      <c r="J597" s="1" t="s">
        <v>2525</v>
      </c>
      <c r="L597" s="53"/>
      <c r="M597" s="39"/>
      <c r="N597" s="39"/>
      <c r="O597" s="39"/>
      <c r="P597" s="39"/>
      <c r="Q597" s="39"/>
      <c r="R597" s="39"/>
      <c r="S597" s="39"/>
      <c r="T597" s="39"/>
      <c r="U597" s="39"/>
      <c r="V597" s="39"/>
      <c r="W597" s="60" t="s">
        <v>2526</v>
      </c>
    </row>
    <row r="598" spans="1:23" ht="63.75" x14ac:dyDescent="0.2">
      <c r="A598" s="1" t="s">
        <v>451</v>
      </c>
      <c r="B598" s="2" t="s">
        <v>32</v>
      </c>
      <c r="C598" s="2" t="s">
        <v>424</v>
      </c>
      <c r="D598" s="2" t="s">
        <v>425</v>
      </c>
      <c r="E598" s="2">
        <v>2021</v>
      </c>
      <c r="F598" s="2" t="s">
        <v>1787</v>
      </c>
      <c r="G598" s="2" t="s">
        <v>1669</v>
      </c>
      <c r="H598" s="2" t="s">
        <v>1669</v>
      </c>
      <c r="I598" s="1" t="s">
        <v>2527</v>
      </c>
      <c r="J598" s="1" t="s">
        <v>2528</v>
      </c>
      <c r="L598" s="53"/>
      <c r="M598" s="39"/>
      <c r="N598" s="39"/>
      <c r="O598" s="39"/>
      <c r="P598" s="39"/>
      <c r="Q598" s="39"/>
      <c r="R598" s="39"/>
      <c r="S598" s="39"/>
      <c r="T598" s="39"/>
      <c r="U598" s="39"/>
      <c r="V598" s="39"/>
      <c r="W598" s="60" t="s">
        <v>2526</v>
      </c>
    </row>
    <row r="599" spans="1:23" ht="114.75" x14ac:dyDescent="0.2">
      <c r="A599" s="1" t="s">
        <v>451</v>
      </c>
      <c r="B599" s="2" t="s">
        <v>32</v>
      </c>
      <c r="C599" s="2" t="s">
        <v>424</v>
      </c>
      <c r="D599" s="2" t="s">
        <v>425</v>
      </c>
      <c r="E599" s="2">
        <v>2021</v>
      </c>
      <c r="F599" s="2" t="s">
        <v>1796</v>
      </c>
      <c r="G599" s="2" t="s">
        <v>1669</v>
      </c>
      <c r="H599" s="2" t="s">
        <v>1669</v>
      </c>
      <c r="I599" s="1" t="s">
        <v>2529</v>
      </c>
      <c r="J599" s="1" t="s">
        <v>2530</v>
      </c>
      <c r="L599" s="53"/>
      <c r="M599" s="39"/>
      <c r="N599" s="39"/>
      <c r="O599" s="39"/>
      <c r="P599" s="39"/>
      <c r="Q599" s="39"/>
      <c r="R599" s="39"/>
      <c r="S599" s="39"/>
      <c r="T599" s="39"/>
      <c r="U599" s="39"/>
      <c r="V599" s="39"/>
      <c r="W599" s="60" t="s">
        <v>2526</v>
      </c>
    </row>
    <row r="600" spans="1:23" ht="38.25" x14ac:dyDescent="0.2">
      <c r="A600" s="1" t="s">
        <v>47</v>
      </c>
      <c r="B600" s="2" t="s">
        <v>48</v>
      </c>
      <c r="C600" s="2" t="s">
        <v>49</v>
      </c>
      <c r="D600" s="2" t="s">
        <v>50</v>
      </c>
      <c r="E600" s="2">
        <v>2021</v>
      </c>
      <c r="F600" s="2" t="s">
        <v>1776</v>
      </c>
      <c r="G600" s="2" t="s">
        <v>1667</v>
      </c>
      <c r="H600" s="2" t="s">
        <v>1669</v>
      </c>
      <c r="I600" s="1" t="s">
        <v>14</v>
      </c>
      <c r="J600" s="1" t="s">
        <v>2531</v>
      </c>
      <c r="L600" s="53">
        <v>0.14899999999999999</v>
      </c>
      <c r="M600" s="39">
        <v>941.25</v>
      </c>
      <c r="N600" s="39"/>
      <c r="O600" s="39"/>
      <c r="P600" s="39"/>
      <c r="Q600" s="39"/>
      <c r="R600" s="39"/>
      <c r="S600" s="39"/>
      <c r="T600" s="39"/>
      <c r="U600" s="39"/>
      <c r="V600" s="39"/>
      <c r="W600" s="60"/>
    </row>
    <row r="601" spans="1:23" ht="38.25" x14ac:dyDescent="0.2">
      <c r="A601" s="1" t="s">
        <v>47</v>
      </c>
      <c r="B601" s="2" t="s">
        <v>48</v>
      </c>
      <c r="C601" s="2" t="s">
        <v>49</v>
      </c>
      <c r="D601" s="2" t="s">
        <v>50</v>
      </c>
      <c r="E601" s="2">
        <v>2021</v>
      </c>
      <c r="F601" s="2" t="s">
        <v>1779</v>
      </c>
      <c r="G601" s="2" t="s">
        <v>1667</v>
      </c>
      <c r="H601" s="2" t="s">
        <v>1669</v>
      </c>
      <c r="I601" s="1" t="s">
        <v>14</v>
      </c>
      <c r="J601" s="1" t="s">
        <v>2532</v>
      </c>
      <c r="L601" s="53">
        <v>0.14599999999999999</v>
      </c>
      <c r="M601" s="3"/>
      <c r="N601" s="39"/>
      <c r="O601" s="39"/>
      <c r="P601" s="39"/>
      <c r="Q601" s="39"/>
      <c r="R601" s="39">
        <v>986.77</v>
      </c>
      <c r="S601" s="39"/>
      <c r="T601" s="39"/>
      <c r="U601" s="39"/>
      <c r="V601" s="39"/>
      <c r="W601" s="60" t="s">
        <v>3087</v>
      </c>
    </row>
    <row r="602" spans="1:23" ht="38.25" x14ac:dyDescent="0.2">
      <c r="A602" s="1" t="s">
        <v>47</v>
      </c>
      <c r="B602" s="2" t="s">
        <v>48</v>
      </c>
      <c r="C602" s="2" t="s">
        <v>49</v>
      </c>
      <c r="D602" s="2" t="s">
        <v>50</v>
      </c>
      <c r="E602" s="2">
        <v>2021</v>
      </c>
      <c r="F602" s="2" t="s">
        <v>1781</v>
      </c>
      <c r="G602" s="2" t="s">
        <v>1667</v>
      </c>
      <c r="H602" s="2" t="s">
        <v>1669</v>
      </c>
      <c r="I602" s="1" t="s">
        <v>14</v>
      </c>
      <c r="J602" s="1" t="s">
        <v>2533</v>
      </c>
      <c r="L602" s="53">
        <v>0.151</v>
      </c>
      <c r="M602" s="3"/>
      <c r="N602" s="39"/>
      <c r="O602" s="39"/>
      <c r="P602" s="39"/>
      <c r="Q602" s="39"/>
      <c r="R602" s="39">
        <v>1278</v>
      </c>
      <c r="S602" s="39"/>
      <c r="T602" s="39"/>
      <c r="U602" s="39"/>
      <c r="V602" s="39"/>
      <c r="W602" s="60" t="s">
        <v>3087</v>
      </c>
    </row>
    <row r="603" spans="1:23" ht="63.75" x14ac:dyDescent="0.2">
      <c r="A603" s="1" t="s">
        <v>47</v>
      </c>
      <c r="B603" s="2" t="s">
        <v>48</v>
      </c>
      <c r="C603" s="2" t="s">
        <v>49</v>
      </c>
      <c r="D603" s="2" t="s">
        <v>50</v>
      </c>
      <c r="E603" s="2">
        <v>2021</v>
      </c>
      <c r="F603" s="2" t="s">
        <v>1783</v>
      </c>
      <c r="G603" s="2" t="s">
        <v>1667</v>
      </c>
      <c r="H603" s="2" t="s">
        <v>1669</v>
      </c>
      <c r="I603" s="1" t="s">
        <v>14</v>
      </c>
      <c r="J603" s="1" t="s">
        <v>2534</v>
      </c>
      <c r="L603" s="53">
        <v>0.159</v>
      </c>
      <c r="M603" s="3"/>
      <c r="N603" s="39"/>
      <c r="O603" s="39">
        <f>1255/2</f>
        <v>627.5</v>
      </c>
      <c r="P603" s="39"/>
      <c r="Q603" s="39"/>
      <c r="R603" s="39">
        <f>1255/2</f>
        <v>627.5</v>
      </c>
      <c r="S603" s="39"/>
      <c r="T603" s="39"/>
      <c r="U603" s="39"/>
      <c r="V603" s="39"/>
      <c r="W603" s="60" t="s">
        <v>3088</v>
      </c>
    </row>
    <row r="604" spans="1:23" ht="63.75" x14ac:dyDescent="0.2">
      <c r="A604" s="1" t="s">
        <v>47</v>
      </c>
      <c r="B604" s="2" t="s">
        <v>48</v>
      </c>
      <c r="C604" s="2" t="s">
        <v>49</v>
      </c>
      <c r="D604" s="2" t="s">
        <v>50</v>
      </c>
      <c r="E604" s="2">
        <v>2021</v>
      </c>
      <c r="F604" s="2" t="s">
        <v>1785</v>
      </c>
      <c r="G604" s="2" t="s">
        <v>1667</v>
      </c>
      <c r="H604" s="2" t="s">
        <v>1669</v>
      </c>
      <c r="I604" s="1" t="s">
        <v>14</v>
      </c>
      <c r="J604" s="1" t="s">
        <v>2535</v>
      </c>
      <c r="L604" s="53">
        <v>0.15</v>
      </c>
      <c r="M604" s="3"/>
      <c r="N604" s="39"/>
      <c r="O604" s="39">
        <f>1160.82/2</f>
        <v>580.41</v>
      </c>
      <c r="P604" s="39"/>
      <c r="Q604" s="39"/>
      <c r="R604" s="39">
        <f>1160.82/2</f>
        <v>580.41</v>
      </c>
      <c r="S604" s="39"/>
      <c r="T604" s="39"/>
      <c r="U604" s="39"/>
      <c r="V604" s="39"/>
      <c r="W604" s="60" t="s">
        <v>3088</v>
      </c>
    </row>
    <row r="605" spans="1:23" ht="63.75" x14ac:dyDescent="0.2">
      <c r="A605" s="1" t="s">
        <v>47</v>
      </c>
      <c r="B605" s="2" t="s">
        <v>48</v>
      </c>
      <c r="C605" s="2" t="s">
        <v>49</v>
      </c>
      <c r="D605" s="2" t="s">
        <v>50</v>
      </c>
      <c r="E605" s="2">
        <v>2021</v>
      </c>
      <c r="F605" s="2" t="s">
        <v>1787</v>
      </c>
      <c r="G605" s="2" t="s">
        <v>1667</v>
      </c>
      <c r="H605" s="2" t="s">
        <v>1669</v>
      </c>
      <c r="I605" s="1" t="s">
        <v>14</v>
      </c>
      <c r="J605" s="1" t="s">
        <v>2536</v>
      </c>
      <c r="L605" s="53">
        <v>15.2</v>
      </c>
      <c r="M605" s="3"/>
      <c r="N605" s="39"/>
      <c r="O605" s="39">
        <f>1290/2</f>
        <v>645</v>
      </c>
      <c r="P605" s="39"/>
      <c r="Q605" s="39"/>
      <c r="R605" s="39">
        <f>1290/2</f>
        <v>645</v>
      </c>
      <c r="S605" s="39"/>
      <c r="T605" s="39"/>
      <c r="U605" s="39"/>
      <c r="V605" s="39"/>
      <c r="W605" s="60" t="s">
        <v>3088</v>
      </c>
    </row>
    <row r="606" spans="1:23" ht="63.75" x14ac:dyDescent="0.2">
      <c r="A606" s="1" t="s">
        <v>47</v>
      </c>
      <c r="B606" s="2" t="s">
        <v>48</v>
      </c>
      <c r="C606" s="2" t="s">
        <v>49</v>
      </c>
      <c r="D606" s="2" t="s">
        <v>50</v>
      </c>
      <c r="E606" s="2">
        <v>2021</v>
      </c>
      <c r="F606" s="2" t="s">
        <v>1789</v>
      </c>
      <c r="G606" s="2" t="s">
        <v>1667</v>
      </c>
      <c r="H606" s="2" t="s">
        <v>1669</v>
      </c>
      <c r="I606" s="1" t="s">
        <v>14</v>
      </c>
      <c r="J606" s="1" t="s">
        <v>2537</v>
      </c>
      <c r="L606" s="53">
        <v>0.15</v>
      </c>
      <c r="M606" s="3"/>
      <c r="N606" s="39"/>
      <c r="O606" s="39">
        <f>1038.35/2</f>
        <v>519.17499999999995</v>
      </c>
      <c r="P606" s="39"/>
      <c r="Q606" s="39"/>
      <c r="R606" s="39">
        <f>1038.35/2</f>
        <v>519.17499999999995</v>
      </c>
      <c r="S606" s="39"/>
      <c r="T606" s="39"/>
      <c r="U606" s="39"/>
      <c r="V606" s="39"/>
      <c r="W606" s="60" t="s">
        <v>3088</v>
      </c>
    </row>
    <row r="607" spans="1:23" ht="63.75" x14ac:dyDescent="0.2">
      <c r="A607" s="1" t="s">
        <v>47</v>
      </c>
      <c r="B607" s="2" t="s">
        <v>48</v>
      </c>
      <c r="C607" s="2" t="s">
        <v>49</v>
      </c>
      <c r="D607" s="2" t="s">
        <v>50</v>
      </c>
      <c r="E607" s="2">
        <v>2021</v>
      </c>
      <c r="F607" s="2" t="s">
        <v>1791</v>
      </c>
      <c r="G607" s="2" t="s">
        <v>1667</v>
      </c>
      <c r="H607" s="2" t="s">
        <v>1669</v>
      </c>
      <c r="I607" s="1" t="s">
        <v>14</v>
      </c>
      <c r="J607" s="1" t="s">
        <v>2538</v>
      </c>
      <c r="L607" s="53">
        <v>0.14799999999999999</v>
      </c>
      <c r="M607" s="3"/>
      <c r="N607" s="39"/>
      <c r="O607" s="39">
        <f>1189.63/2</f>
        <v>594.81500000000005</v>
      </c>
      <c r="P607" s="39"/>
      <c r="Q607" s="39"/>
      <c r="R607" s="39">
        <f>1189.63/2</f>
        <v>594.81500000000005</v>
      </c>
      <c r="S607" s="39"/>
      <c r="T607" s="39"/>
      <c r="U607" s="39"/>
      <c r="V607" s="39"/>
      <c r="W607" s="60" t="s">
        <v>3088</v>
      </c>
    </row>
    <row r="608" spans="1:23" ht="63.75" x14ac:dyDescent="0.2">
      <c r="A608" s="1" t="s">
        <v>47</v>
      </c>
      <c r="B608" s="2" t="s">
        <v>48</v>
      </c>
      <c r="C608" s="2" t="s">
        <v>49</v>
      </c>
      <c r="D608" s="2" t="s">
        <v>50</v>
      </c>
      <c r="E608" s="2">
        <v>2021</v>
      </c>
      <c r="F608" s="2" t="s">
        <v>311</v>
      </c>
      <c r="G608" s="2" t="s">
        <v>1667</v>
      </c>
      <c r="H608" s="2" t="s">
        <v>1669</v>
      </c>
      <c r="I608" s="1" t="s">
        <v>14</v>
      </c>
      <c r="J608" s="1" t="s">
        <v>2539</v>
      </c>
      <c r="L608" s="53">
        <v>0.14399999999999999</v>
      </c>
      <c r="M608" s="3"/>
      <c r="N608" s="39"/>
      <c r="O608" s="39">
        <f>1110/2</f>
        <v>555</v>
      </c>
      <c r="P608" s="39"/>
      <c r="Q608" s="39"/>
      <c r="R608" s="39">
        <f>1110/2</f>
        <v>555</v>
      </c>
      <c r="S608" s="39"/>
      <c r="T608" s="39"/>
      <c r="U608" s="39"/>
      <c r="V608" s="39"/>
      <c r="W608" s="60" t="s">
        <v>3088</v>
      </c>
    </row>
    <row r="609" spans="1:23" ht="63.75" x14ac:dyDescent="0.2">
      <c r="A609" s="1" t="s">
        <v>47</v>
      </c>
      <c r="B609" s="2" t="s">
        <v>48</v>
      </c>
      <c r="C609" s="2" t="s">
        <v>49</v>
      </c>
      <c r="D609" s="2" t="s">
        <v>50</v>
      </c>
      <c r="E609" s="2">
        <v>2021</v>
      </c>
      <c r="F609" s="2" t="s">
        <v>1796</v>
      </c>
      <c r="G609" s="2" t="s">
        <v>1667</v>
      </c>
      <c r="H609" s="2" t="s">
        <v>1669</v>
      </c>
      <c r="I609" s="1" t="s">
        <v>14</v>
      </c>
      <c r="J609" s="1" t="s">
        <v>2540</v>
      </c>
      <c r="L609" s="53">
        <v>0.14199999999999999</v>
      </c>
      <c r="M609" s="3"/>
      <c r="N609" s="39"/>
      <c r="O609" s="39">
        <f>1038/2</f>
        <v>519</v>
      </c>
      <c r="P609" s="39"/>
      <c r="Q609" s="39"/>
      <c r="R609" s="39">
        <f>1038/2</f>
        <v>519</v>
      </c>
      <c r="S609" s="39"/>
      <c r="T609" s="39"/>
      <c r="U609" s="39"/>
      <c r="V609" s="39"/>
      <c r="W609" s="60" t="s">
        <v>3088</v>
      </c>
    </row>
    <row r="610" spans="1:23" ht="38.25" x14ac:dyDescent="0.2">
      <c r="A610" s="1" t="s">
        <v>47</v>
      </c>
      <c r="B610" s="2" t="s">
        <v>48</v>
      </c>
      <c r="C610" s="2" t="s">
        <v>49</v>
      </c>
      <c r="D610" s="2" t="s">
        <v>50</v>
      </c>
      <c r="E610" s="2">
        <v>2021</v>
      </c>
      <c r="F610" s="2" t="s">
        <v>1798</v>
      </c>
      <c r="G610" s="2" t="s">
        <v>1667</v>
      </c>
      <c r="H610" s="2" t="s">
        <v>1669</v>
      </c>
      <c r="I610" s="1" t="s">
        <v>14</v>
      </c>
      <c r="J610" s="1" t="s">
        <v>2541</v>
      </c>
      <c r="L610" s="53">
        <v>0.14799999999999999</v>
      </c>
      <c r="M610" s="3"/>
      <c r="N610" s="39"/>
      <c r="O610" s="39"/>
      <c r="P610" s="39"/>
      <c r="Q610" s="39"/>
      <c r="R610" s="39">
        <v>972.19</v>
      </c>
      <c r="S610" s="39"/>
      <c r="T610" s="39"/>
      <c r="U610" s="39"/>
      <c r="V610" s="39"/>
      <c r="W610" s="60" t="s">
        <v>3087</v>
      </c>
    </row>
    <row r="611" spans="1:23" ht="51" x14ac:dyDescent="0.2">
      <c r="A611" s="1" t="s">
        <v>112</v>
      </c>
      <c r="B611" s="2" t="s">
        <v>48</v>
      </c>
      <c r="C611" s="2" t="s">
        <v>49</v>
      </c>
      <c r="D611" s="2" t="s">
        <v>50</v>
      </c>
      <c r="E611" s="2">
        <v>2021</v>
      </c>
      <c r="F611" s="2" t="s">
        <v>1776</v>
      </c>
      <c r="G611" s="2" t="s">
        <v>1667</v>
      </c>
      <c r="H611" s="2" t="s">
        <v>1669</v>
      </c>
      <c r="I611" s="1" t="s">
        <v>14</v>
      </c>
      <c r="J611" s="1" t="s">
        <v>2542</v>
      </c>
      <c r="L611" s="53">
        <v>0.13500000000000001</v>
      </c>
      <c r="M611" s="39">
        <f>896*0.8/2</f>
        <v>358.40000000000003</v>
      </c>
      <c r="N611" s="39"/>
      <c r="O611" s="39">
        <f>896*0.8/2</f>
        <v>358.40000000000003</v>
      </c>
      <c r="P611" s="39"/>
      <c r="Q611" s="39"/>
      <c r="R611" s="39"/>
      <c r="S611" s="39"/>
      <c r="T611" s="39"/>
      <c r="U611" s="39"/>
      <c r="V611" s="39"/>
      <c r="W611" s="60" t="s">
        <v>2543</v>
      </c>
    </row>
    <row r="612" spans="1:23" ht="51" x14ac:dyDescent="0.2">
      <c r="A612" s="1" t="s">
        <v>112</v>
      </c>
      <c r="B612" s="2" t="s">
        <v>48</v>
      </c>
      <c r="C612" s="2" t="s">
        <v>49</v>
      </c>
      <c r="D612" s="2" t="s">
        <v>50</v>
      </c>
      <c r="E612" s="2">
        <v>2021</v>
      </c>
      <c r="F612" s="2" t="s">
        <v>1779</v>
      </c>
      <c r="G612" s="2" t="s">
        <v>1667</v>
      </c>
      <c r="H612" s="2" t="s">
        <v>1669</v>
      </c>
      <c r="I612" s="1" t="s">
        <v>14</v>
      </c>
      <c r="J612" s="1" t="s">
        <v>2544</v>
      </c>
      <c r="L612" s="53">
        <v>0.13900000000000001</v>
      </c>
      <c r="M612" s="39">
        <f>699*0.8/2</f>
        <v>279.60000000000002</v>
      </c>
      <c r="N612" s="39"/>
      <c r="O612" s="39">
        <f>699*0.8/2</f>
        <v>279.60000000000002</v>
      </c>
      <c r="P612" s="39"/>
      <c r="Q612" s="39"/>
      <c r="R612" s="39"/>
      <c r="S612" s="39"/>
      <c r="T612" s="39"/>
      <c r="U612" s="39"/>
      <c r="V612" s="39"/>
      <c r="W612" s="60" t="s">
        <v>2543</v>
      </c>
    </row>
    <row r="613" spans="1:23" ht="51" x14ac:dyDescent="0.2">
      <c r="A613" s="1" t="s">
        <v>112</v>
      </c>
      <c r="B613" s="2" t="s">
        <v>48</v>
      </c>
      <c r="C613" s="2" t="s">
        <v>49</v>
      </c>
      <c r="D613" s="2" t="s">
        <v>50</v>
      </c>
      <c r="E613" s="2">
        <v>2021</v>
      </c>
      <c r="F613" s="2" t="s">
        <v>1781</v>
      </c>
      <c r="G613" s="2" t="s">
        <v>1667</v>
      </c>
      <c r="H613" s="2" t="s">
        <v>1669</v>
      </c>
      <c r="I613" s="1" t="s">
        <v>14</v>
      </c>
      <c r="J613" s="1" t="s">
        <v>2545</v>
      </c>
      <c r="L613" s="53">
        <v>0.14849999999999999</v>
      </c>
      <c r="M613" s="39"/>
      <c r="N613" s="39"/>
      <c r="O613" s="39">
        <f>873*0.8/2</f>
        <v>349.20000000000005</v>
      </c>
      <c r="P613" s="39"/>
      <c r="Q613" s="39"/>
      <c r="R613" s="39">
        <f>873*0.8/2</f>
        <v>349.20000000000005</v>
      </c>
      <c r="S613" s="39"/>
      <c r="T613" s="39"/>
      <c r="U613" s="39"/>
      <c r="V613" s="3"/>
      <c r="W613" s="60" t="s">
        <v>3086</v>
      </c>
    </row>
    <row r="614" spans="1:23" ht="51" x14ac:dyDescent="0.2">
      <c r="A614" s="1" t="s">
        <v>112</v>
      </c>
      <c r="B614" s="2" t="s">
        <v>48</v>
      </c>
      <c r="C614" s="2" t="s">
        <v>49</v>
      </c>
      <c r="D614" s="2" t="s">
        <v>50</v>
      </c>
      <c r="E614" s="2">
        <v>2021</v>
      </c>
      <c r="F614" s="2" t="s">
        <v>1783</v>
      </c>
      <c r="G614" s="2" t="s">
        <v>1667</v>
      </c>
      <c r="H614" s="2" t="s">
        <v>1669</v>
      </c>
      <c r="I614" s="1" t="s">
        <v>14</v>
      </c>
      <c r="J614" s="1" t="s">
        <v>2546</v>
      </c>
      <c r="L614" s="53">
        <v>0.156</v>
      </c>
      <c r="M614" s="39"/>
      <c r="N614" s="39"/>
      <c r="O614" s="39">
        <f>613*0.8/2</f>
        <v>245.20000000000002</v>
      </c>
      <c r="P614" s="39"/>
      <c r="Q614" s="39"/>
      <c r="R614" s="39">
        <f>613*0.8/2</f>
        <v>245.20000000000002</v>
      </c>
      <c r="S614" s="39"/>
      <c r="T614" s="39"/>
      <c r="U614" s="39"/>
      <c r="V614" s="3"/>
      <c r="W614" s="60" t="s">
        <v>3086</v>
      </c>
    </row>
    <row r="615" spans="1:23" ht="51" x14ac:dyDescent="0.2">
      <c r="A615" s="1" t="s">
        <v>112</v>
      </c>
      <c r="B615" s="2" t="s">
        <v>48</v>
      </c>
      <c r="C615" s="2" t="s">
        <v>49</v>
      </c>
      <c r="D615" s="2" t="s">
        <v>50</v>
      </c>
      <c r="E615" s="2">
        <v>2021</v>
      </c>
      <c r="F615" s="2" t="s">
        <v>1785</v>
      </c>
      <c r="G615" s="2" t="s">
        <v>1667</v>
      </c>
      <c r="H615" s="2" t="s">
        <v>1669</v>
      </c>
      <c r="I615" s="1" t="s">
        <v>14</v>
      </c>
      <c r="J615" s="1" t="s">
        <v>2547</v>
      </c>
      <c r="L615" s="53">
        <v>0.14699999999999999</v>
      </c>
      <c r="M615" s="39"/>
      <c r="N615" s="39"/>
      <c r="O615" s="39">
        <f>830*0.8/2</f>
        <v>332</v>
      </c>
      <c r="P615" s="39"/>
      <c r="Q615" s="39"/>
      <c r="R615" s="39">
        <f>830*0.8/2</f>
        <v>332</v>
      </c>
      <c r="S615" s="39"/>
      <c r="T615" s="39"/>
      <c r="U615" s="39"/>
      <c r="V615" s="3"/>
      <c r="W615" s="60" t="s">
        <v>3086</v>
      </c>
    </row>
    <row r="616" spans="1:23" ht="51" x14ac:dyDescent="0.2">
      <c r="A616" s="1" t="s">
        <v>112</v>
      </c>
      <c r="B616" s="2" t="s">
        <v>48</v>
      </c>
      <c r="C616" s="2" t="s">
        <v>49</v>
      </c>
      <c r="D616" s="2" t="s">
        <v>50</v>
      </c>
      <c r="E616" s="2">
        <v>2021</v>
      </c>
      <c r="F616" s="2" t="s">
        <v>1787</v>
      </c>
      <c r="G616" s="2" t="s">
        <v>1667</v>
      </c>
      <c r="H616" s="2" t="s">
        <v>1669</v>
      </c>
      <c r="I616" s="1" t="s">
        <v>14</v>
      </c>
      <c r="J616" s="1" t="s">
        <v>2548</v>
      </c>
      <c r="L616" s="53">
        <v>0.14599999999999999</v>
      </c>
      <c r="M616" s="39"/>
      <c r="N616" s="39"/>
      <c r="O616" s="39">
        <f>861*0.8/2</f>
        <v>344.40000000000003</v>
      </c>
      <c r="P616" s="39"/>
      <c r="Q616" s="39"/>
      <c r="R616" s="39">
        <f>861*0.8/2</f>
        <v>344.40000000000003</v>
      </c>
      <c r="S616" s="39"/>
      <c r="T616" s="39"/>
      <c r="U616" s="39"/>
      <c r="V616" s="3"/>
      <c r="W616" s="60" t="s">
        <v>3086</v>
      </c>
    </row>
    <row r="617" spans="1:23" ht="51" x14ac:dyDescent="0.2">
      <c r="A617" s="1" t="s">
        <v>112</v>
      </c>
      <c r="B617" s="2" t="s">
        <v>48</v>
      </c>
      <c r="C617" s="2" t="s">
        <v>49</v>
      </c>
      <c r="D617" s="2" t="s">
        <v>50</v>
      </c>
      <c r="E617" s="2">
        <v>2021</v>
      </c>
      <c r="F617" s="2" t="s">
        <v>1789</v>
      </c>
      <c r="G617" s="2" t="s">
        <v>1667</v>
      </c>
      <c r="H617" s="2" t="s">
        <v>1669</v>
      </c>
      <c r="I617" s="1" t="s">
        <v>14</v>
      </c>
      <c r="J617" s="1" t="s">
        <v>2549</v>
      </c>
      <c r="L617" s="53">
        <v>0.14599999999999999</v>
      </c>
      <c r="M617" s="39"/>
      <c r="N617" s="39"/>
      <c r="O617" s="39">
        <f>743*0.8/2</f>
        <v>297.2</v>
      </c>
      <c r="P617" s="39"/>
      <c r="Q617" s="39"/>
      <c r="R617" s="39">
        <f>743*0.8/2</f>
        <v>297.2</v>
      </c>
      <c r="S617" s="39"/>
      <c r="T617" s="39"/>
      <c r="U617" s="39"/>
      <c r="V617" s="3"/>
      <c r="W617" s="60" t="s">
        <v>3086</v>
      </c>
    </row>
    <row r="618" spans="1:23" ht="51" x14ac:dyDescent="0.2">
      <c r="A618" s="1" t="s">
        <v>112</v>
      </c>
      <c r="B618" s="2" t="s">
        <v>48</v>
      </c>
      <c r="C618" s="2" t="s">
        <v>49</v>
      </c>
      <c r="D618" s="2" t="s">
        <v>50</v>
      </c>
      <c r="E618" s="2">
        <v>2021</v>
      </c>
      <c r="F618" s="2" t="s">
        <v>1791</v>
      </c>
      <c r="G618" s="2" t="s">
        <v>1667</v>
      </c>
      <c r="H618" s="2" t="s">
        <v>1669</v>
      </c>
      <c r="I618" s="1" t="s">
        <v>14</v>
      </c>
      <c r="J618" s="1" t="s">
        <v>2550</v>
      </c>
      <c r="L618" s="53">
        <v>0.151</v>
      </c>
      <c r="M618" s="39"/>
      <c r="N618" s="39"/>
      <c r="O618" s="39">
        <f>780*0.8/2</f>
        <v>312</v>
      </c>
      <c r="P618" s="39"/>
      <c r="Q618" s="39"/>
      <c r="R618" s="39">
        <f>780*0.8/2</f>
        <v>312</v>
      </c>
      <c r="S618" s="39"/>
      <c r="T618" s="39"/>
      <c r="U618" s="39"/>
      <c r="V618" s="3"/>
      <c r="W618" s="60" t="s">
        <v>3086</v>
      </c>
    </row>
    <row r="619" spans="1:23" ht="51" x14ac:dyDescent="0.2">
      <c r="A619" s="1" t="s">
        <v>112</v>
      </c>
      <c r="B619" s="2" t="s">
        <v>48</v>
      </c>
      <c r="C619" s="2" t="s">
        <v>49</v>
      </c>
      <c r="D619" s="2" t="s">
        <v>50</v>
      </c>
      <c r="E619" s="2">
        <v>2021</v>
      </c>
      <c r="F619" s="2" t="s">
        <v>311</v>
      </c>
      <c r="G619" s="2" t="s">
        <v>1667</v>
      </c>
      <c r="H619" s="2" t="s">
        <v>1669</v>
      </c>
      <c r="I619" s="1" t="s">
        <v>14</v>
      </c>
      <c r="J619" s="1" t="s">
        <v>2551</v>
      </c>
      <c r="L619" s="53">
        <v>0.154</v>
      </c>
      <c r="M619" s="39"/>
      <c r="N619" s="39"/>
      <c r="O619" s="39">
        <f>829*0.8/2</f>
        <v>331.6</v>
      </c>
      <c r="P619" s="39"/>
      <c r="Q619" s="39"/>
      <c r="R619" s="39">
        <f>829*0.8/2</f>
        <v>331.6</v>
      </c>
      <c r="S619" s="39"/>
      <c r="T619" s="39"/>
      <c r="U619" s="39"/>
      <c r="V619" s="3"/>
      <c r="W619" s="60" t="s">
        <v>3086</v>
      </c>
    </row>
    <row r="620" spans="1:23" ht="51" x14ac:dyDescent="0.2">
      <c r="A620" s="1" t="s">
        <v>112</v>
      </c>
      <c r="B620" s="2" t="s">
        <v>48</v>
      </c>
      <c r="C620" s="2" t="s">
        <v>49</v>
      </c>
      <c r="D620" s="2" t="s">
        <v>50</v>
      </c>
      <c r="E620" s="2">
        <v>2021</v>
      </c>
      <c r="F620" s="2" t="s">
        <v>1796</v>
      </c>
      <c r="G620" s="2" t="s">
        <v>1667</v>
      </c>
      <c r="H620" s="2" t="s">
        <v>1669</v>
      </c>
      <c r="I620" s="1" t="s">
        <v>14</v>
      </c>
      <c r="J620" s="1" t="s">
        <v>2552</v>
      </c>
      <c r="L620" s="53">
        <v>0.151</v>
      </c>
      <c r="M620" s="39"/>
      <c r="N620" s="39"/>
      <c r="O620" s="39"/>
      <c r="P620" s="39"/>
      <c r="Q620" s="39"/>
      <c r="R620" s="39"/>
      <c r="S620" s="39">
        <f>799*0.8</f>
        <v>639.20000000000005</v>
      </c>
      <c r="T620" s="39"/>
      <c r="U620" s="39"/>
      <c r="V620" s="39"/>
      <c r="W620" s="60" t="s">
        <v>1680</v>
      </c>
    </row>
    <row r="621" spans="1:23" ht="38.25" x14ac:dyDescent="0.2">
      <c r="A621" s="1" t="s">
        <v>112</v>
      </c>
      <c r="B621" s="2" t="s">
        <v>48</v>
      </c>
      <c r="C621" s="2" t="s">
        <v>49</v>
      </c>
      <c r="D621" s="2" t="s">
        <v>50</v>
      </c>
      <c r="E621" s="2">
        <v>2021</v>
      </c>
      <c r="F621" s="2" t="s">
        <v>1798</v>
      </c>
      <c r="G621" s="2" t="s">
        <v>1667</v>
      </c>
      <c r="H621" s="2" t="s">
        <v>1669</v>
      </c>
      <c r="I621" s="1" t="s">
        <v>14</v>
      </c>
      <c r="J621" s="1" t="s">
        <v>2553</v>
      </c>
      <c r="L621" s="53">
        <v>0.14099999999999999</v>
      </c>
      <c r="M621" s="39"/>
      <c r="N621" s="39"/>
      <c r="O621" s="39"/>
      <c r="P621" s="39"/>
      <c r="Q621" s="39"/>
      <c r="R621" s="39"/>
      <c r="S621" s="39">
        <f>854*0.8</f>
        <v>683.2</v>
      </c>
      <c r="T621" s="39"/>
      <c r="U621" s="39"/>
      <c r="V621" s="39"/>
      <c r="W621" s="60" t="s">
        <v>1680</v>
      </c>
    </row>
    <row r="622" spans="1:23" ht="51" x14ac:dyDescent="0.2">
      <c r="A622" s="1" t="s">
        <v>51</v>
      </c>
      <c r="B622" s="2" t="s">
        <v>48</v>
      </c>
      <c r="C622" s="2" t="s">
        <v>49</v>
      </c>
      <c r="D622" s="2" t="s">
        <v>50</v>
      </c>
      <c r="E622" s="2">
        <v>2021</v>
      </c>
      <c r="F622" s="2" t="s">
        <v>1776</v>
      </c>
      <c r="G622" s="2" t="s">
        <v>1667</v>
      </c>
      <c r="H622" s="2" t="s">
        <v>1669</v>
      </c>
      <c r="I622" s="1" t="s">
        <v>14</v>
      </c>
      <c r="J622" s="1" t="s">
        <v>2554</v>
      </c>
      <c r="L622" s="53">
        <v>0.16200000000000001</v>
      </c>
      <c r="M622" s="39">
        <f>206.5*0.8/2</f>
        <v>82.600000000000009</v>
      </c>
      <c r="N622" s="39"/>
      <c r="O622" s="39">
        <f>206.5*0.8/2</f>
        <v>82.600000000000009</v>
      </c>
      <c r="P622" s="39"/>
      <c r="Q622" s="39"/>
      <c r="R622" s="39"/>
      <c r="S622" s="39"/>
      <c r="T622" s="39"/>
      <c r="U622" s="39"/>
      <c r="V622" s="39"/>
      <c r="W622" s="60" t="s">
        <v>1761</v>
      </c>
    </row>
    <row r="623" spans="1:23" ht="51" x14ac:dyDescent="0.2">
      <c r="A623" s="1" t="s">
        <v>51</v>
      </c>
      <c r="B623" s="2" t="s">
        <v>48</v>
      </c>
      <c r="C623" s="2" t="s">
        <v>49</v>
      </c>
      <c r="D623" s="2" t="s">
        <v>50</v>
      </c>
      <c r="E623" s="2">
        <v>2021</v>
      </c>
      <c r="F623" s="2" t="s">
        <v>1779</v>
      </c>
      <c r="G623" s="2" t="s">
        <v>1667</v>
      </c>
      <c r="H623" s="2" t="s">
        <v>1669</v>
      </c>
      <c r="I623" s="1" t="s">
        <v>14</v>
      </c>
      <c r="J623" s="1" t="s">
        <v>2555</v>
      </c>
      <c r="L623" s="53">
        <v>0.1555</v>
      </c>
      <c r="M623" s="39">
        <f>298.13*0.8/2</f>
        <v>119.25200000000001</v>
      </c>
      <c r="N623" s="39"/>
      <c r="O623" s="39">
        <f>298.13*0.8/2</f>
        <v>119.25200000000001</v>
      </c>
      <c r="P623" s="39"/>
      <c r="Q623" s="39"/>
      <c r="R623" s="39"/>
      <c r="S623" s="39"/>
      <c r="T623" s="39"/>
      <c r="U623" s="39"/>
      <c r="V623" s="39"/>
      <c r="W623" s="60" t="s">
        <v>2543</v>
      </c>
    </row>
    <row r="624" spans="1:23" ht="51" x14ac:dyDescent="0.2">
      <c r="A624" s="1" t="s">
        <v>51</v>
      </c>
      <c r="B624" s="2" t="s">
        <v>48</v>
      </c>
      <c r="C624" s="2" t="s">
        <v>49</v>
      </c>
      <c r="D624" s="2" t="s">
        <v>50</v>
      </c>
      <c r="E624" s="2">
        <v>2021</v>
      </c>
      <c r="F624" s="2" t="s">
        <v>1781</v>
      </c>
      <c r="G624" s="2" t="s">
        <v>1667</v>
      </c>
      <c r="H624" s="2" t="s">
        <v>1669</v>
      </c>
      <c r="I624" s="1" t="s">
        <v>14</v>
      </c>
      <c r="J624" s="1" t="s">
        <v>2556</v>
      </c>
      <c r="L624" s="53">
        <v>0.17799999999999999</v>
      </c>
      <c r="M624" s="39">
        <f>237*0.8/2</f>
        <v>94.800000000000011</v>
      </c>
      <c r="N624" s="39"/>
      <c r="O624" s="39">
        <f>237*0.8/2</f>
        <v>94.800000000000011</v>
      </c>
      <c r="P624" s="39"/>
      <c r="Q624" s="39"/>
      <c r="R624" s="39"/>
      <c r="S624" s="39"/>
      <c r="T624" s="39"/>
      <c r="U624" s="39"/>
      <c r="V624" s="39"/>
      <c r="W624" s="60" t="s">
        <v>1761</v>
      </c>
    </row>
    <row r="625" spans="1:23" ht="51" x14ac:dyDescent="0.2">
      <c r="A625" s="1" t="s">
        <v>51</v>
      </c>
      <c r="B625" s="2" t="s">
        <v>48</v>
      </c>
      <c r="C625" s="2" t="s">
        <v>49</v>
      </c>
      <c r="D625" s="2" t="s">
        <v>50</v>
      </c>
      <c r="E625" s="2">
        <v>2021</v>
      </c>
      <c r="F625" s="2" t="s">
        <v>1783</v>
      </c>
      <c r="G625" s="2" t="s">
        <v>1667</v>
      </c>
      <c r="H625" s="2" t="s">
        <v>1669</v>
      </c>
      <c r="I625" s="1" t="s">
        <v>14</v>
      </c>
      <c r="J625" s="1" t="s">
        <v>2557</v>
      </c>
      <c r="L625" s="53">
        <v>0.161</v>
      </c>
      <c r="M625" s="39">
        <f>155*0.8/2</f>
        <v>62</v>
      </c>
      <c r="N625" s="39"/>
      <c r="O625" s="39">
        <f>155*0.8/2</f>
        <v>62</v>
      </c>
      <c r="P625" s="39"/>
      <c r="Q625" s="39"/>
      <c r="R625" s="39"/>
      <c r="S625" s="39"/>
      <c r="T625" s="39"/>
      <c r="U625" s="39"/>
      <c r="V625" s="39"/>
      <c r="W625" s="60" t="s">
        <v>1761</v>
      </c>
    </row>
    <row r="626" spans="1:23" ht="51" x14ac:dyDescent="0.2">
      <c r="A626" s="1" t="s">
        <v>51</v>
      </c>
      <c r="B626" s="2" t="s">
        <v>48</v>
      </c>
      <c r="C626" s="2" t="s">
        <v>49</v>
      </c>
      <c r="D626" s="2" t="s">
        <v>50</v>
      </c>
      <c r="E626" s="2">
        <v>2021</v>
      </c>
      <c r="F626" s="2" t="s">
        <v>1785</v>
      </c>
      <c r="G626" s="2" t="s">
        <v>1667</v>
      </c>
      <c r="H626" s="2" t="s">
        <v>1669</v>
      </c>
      <c r="I626" s="1" t="s">
        <v>14</v>
      </c>
      <c r="J626" s="1" t="s">
        <v>2558</v>
      </c>
      <c r="L626" s="53">
        <v>0.16500000000000001</v>
      </c>
      <c r="M626" s="39">
        <f>179*0.8/2</f>
        <v>71.600000000000009</v>
      </c>
      <c r="N626" s="39"/>
      <c r="O626" s="39">
        <f>179*0.8/2</f>
        <v>71.600000000000009</v>
      </c>
      <c r="P626" s="39"/>
      <c r="Q626" s="39"/>
      <c r="R626" s="39"/>
      <c r="S626" s="39"/>
      <c r="T626" s="39"/>
      <c r="U626" s="39"/>
      <c r="V626" s="39"/>
      <c r="W626" s="60" t="s">
        <v>2543</v>
      </c>
    </row>
    <row r="627" spans="1:23" ht="51" x14ac:dyDescent="0.2">
      <c r="A627" s="1" t="s">
        <v>51</v>
      </c>
      <c r="B627" s="2" t="s">
        <v>48</v>
      </c>
      <c r="C627" s="2" t="s">
        <v>49</v>
      </c>
      <c r="D627" s="2" t="s">
        <v>50</v>
      </c>
      <c r="E627" s="2">
        <v>2021</v>
      </c>
      <c r="F627" s="2" t="s">
        <v>1787</v>
      </c>
      <c r="G627" s="2" t="s">
        <v>1667</v>
      </c>
      <c r="H627" s="2" t="s">
        <v>1669</v>
      </c>
      <c r="I627" s="1" t="s">
        <v>14</v>
      </c>
      <c r="J627" s="1" t="s">
        <v>2559</v>
      </c>
      <c r="L627" s="53">
        <v>0.16800000000000001</v>
      </c>
      <c r="M627" s="39">
        <f>139*0.8/2</f>
        <v>55.6</v>
      </c>
      <c r="N627" s="39"/>
      <c r="O627" s="39">
        <f>139*0.8/2</f>
        <v>55.6</v>
      </c>
      <c r="P627" s="39"/>
      <c r="Q627" s="39"/>
      <c r="R627" s="39"/>
      <c r="S627" s="39"/>
      <c r="T627" s="39"/>
      <c r="U627" s="39"/>
      <c r="V627" s="39"/>
      <c r="W627" s="60" t="s">
        <v>2543</v>
      </c>
    </row>
    <row r="628" spans="1:23" ht="51" x14ac:dyDescent="0.2">
      <c r="A628" s="1" t="s">
        <v>51</v>
      </c>
      <c r="B628" s="2" t="s">
        <v>48</v>
      </c>
      <c r="C628" s="2" t="s">
        <v>49</v>
      </c>
      <c r="D628" s="2" t="s">
        <v>50</v>
      </c>
      <c r="E628" s="2">
        <v>2021</v>
      </c>
      <c r="F628" s="2" t="s">
        <v>1789</v>
      </c>
      <c r="G628" s="2" t="s">
        <v>1667</v>
      </c>
      <c r="H628" s="2" t="s">
        <v>1669</v>
      </c>
      <c r="I628" s="1" t="s">
        <v>14</v>
      </c>
      <c r="J628" s="1" t="s">
        <v>2560</v>
      </c>
      <c r="L628" s="53">
        <v>0.16</v>
      </c>
      <c r="M628" s="39">
        <f>79*0.8/2</f>
        <v>31.6</v>
      </c>
      <c r="N628" s="39"/>
      <c r="O628" s="39">
        <f>79*0.8/2</f>
        <v>31.6</v>
      </c>
      <c r="P628" s="39"/>
      <c r="Q628" s="39"/>
      <c r="R628" s="39"/>
      <c r="S628" s="39"/>
      <c r="T628" s="39"/>
      <c r="U628" s="39"/>
      <c r="V628" s="39"/>
      <c r="W628" s="60" t="s">
        <v>2543</v>
      </c>
    </row>
    <row r="629" spans="1:23" ht="51" x14ac:dyDescent="0.2">
      <c r="A629" s="1" t="s">
        <v>51</v>
      </c>
      <c r="B629" s="2" t="s">
        <v>48</v>
      </c>
      <c r="C629" s="2" t="s">
        <v>49</v>
      </c>
      <c r="D629" s="2" t="s">
        <v>50</v>
      </c>
      <c r="E629" s="2">
        <v>2021</v>
      </c>
      <c r="F629" s="2" t="s">
        <v>1791</v>
      </c>
      <c r="G629" s="2" t="s">
        <v>1667</v>
      </c>
      <c r="H629" s="2" t="s">
        <v>1669</v>
      </c>
      <c r="I629" s="1" t="s">
        <v>14</v>
      </c>
      <c r="J629" s="1" t="s">
        <v>2561</v>
      </c>
      <c r="L629" s="53">
        <v>0.17299999999999999</v>
      </c>
      <c r="M629" s="39">
        <f>117*0.8/2</f>
        <v>46.800000000000004</v>
      </c>
      <c r="N629" s="39"/>
      <c r="O629" s="39">
        <f>117*0.8/2</f>
        <v>46.800000000000004</v>
      </c>
      <c r="P629" s="39"/>
      <c r="Q629" s="39"/>
      <c r="R629" s="39"/>
      <c r="S629" s="39"/>
      <c r="T629" s="39"/>
      <c r="U629" s="39"/>
      <c r="V629" s="39"/>
      <c r="W629" s="60" t="s">
        <v>2543</v>
      </c>
    </row>
    <row r="630" spans="1:23" ht="51" x14ac:dyDescent="0.2">
      <c r="A630" s="1" t="s">
        <v>51</v>
      </c>
      <c r="B630" s="2" t="s">
        <v>48</v>
      </c>
      <c r="C630" s="2" t="s">
        <v>49</v>
      </c>
      <c r="D630" s="2" t="s">
        <v>50</v>
      </c>
      <c r="E630" s="2">
        <v>2021</v>
      </c>
      <c r="F630" s="2" t="s">
        <v>311</v>
      </c>
      <c r="G630" s="2" t="s">
        <v>1667</v>
      </c>
      <c r="H630" s="2" t="s">
        <v>1669</v>
      </c>
      <c r="I630" s="1" t="s">
        <v>14</v>
      </c>
      <c r="J630" s="1" t="s">
        <v>2562</v>
      </c>
      <c r="L630" s="53">
        <v>0.14199999999999999</v>
      </c>
      <c r="M630" s="39">
        <f>161*0.8/2</f>
        <v>64.400000000000006</v>
      </c>
      <c r="N630" s="39"/>
      <c r="O630" s="39">
        <f>161*0.8/2</f>
        <v>64.400000000000006</v>
      </c>
      <c r="P630" s="39"/>
      <c r="Q630" s="39"/>
      <c r="R630" s="39"/>
      <c r="S630" s="39"/>
      <c r="T630" s="39"/>
      <c r="U630" s="39"/>
      <c r="V630" s="39"/>
      <c r="W630" s="60" t="s">
        <v>2543</v>
      </c>
    </row>
    <row r="631" spans="1:23" ht="51" x14ac:dyDescent="0.2">
      <c r="A631" s="1" t="s">
        <v>51</v>
      </c>
      <c r="B631" s="2" t="s">
        <v>48</v>
      </c>
      <c r="C631" s="2" t="s">
        <v>49</v>
      </c>
      <c r="D631" s="2" t="s">
        <v>50</v>
      </c>
      <c r="E631" s="2">
        <v>2021</v>
      </c>
      <c r="F631" s="2" t="s">
        <v>1796</v>
      </c>
      <c r="G631" s="2" t="s">
        <v>1667</v>
      </c>
      <c r="H631" s="2" t="s">
        <v>1669</v>
      </c>
      <c r="I631" s="1" t="s">
        <v>14</v>
      </c>
      <c r="J631" s="1" t="s">
        <v>2563</v>
      </c>
      <c r="L631" s="53">
        <v>0.151</v>
      </c>
      <c r="M631" s="39">
        <f>98*0.8/2</f>
        <v>39.200000000000003</v>
      </c>
      <c r="N631" s="39"/>
      <c r="O631" s="39">
        <f>98*0.8/2</f>
        <v>39.200000000000003</v>
      </c>
      <c r="P631" s="39"/>
      <c r="Q631" s="39"/>
      <c r="R631" s="39"/>
      <c r="S631" s="39"/>
      <c r="T631" s="39"/>
      <c r="U631" s="39"/>
      <c r="V631" s="39"/>
      <c r="W631" s="60" t="s">
        <v>2543</v>
      </c>
    </row>
    <row r="632" spans="1:23" ht="51" x14ac:dyDescent="0.2">
      <c r="A632" s="1" t="s">
        <v>51</v>
      </c>
      <c r="B632" s="2" t="s">
        <v>48</v>
      </c>
      <c r="C632" s="2" t="s">
        <v>49</v>
      </c>
      <c r="D632" s="2" t="s">
        <v>50</v>
      </c>
      <c r="E632" s="2">
        <v>2021</v>
      </c>
      <c r="F632" s="2" t="s">
        <v>1798</v>
      </c>
      <c r="G632" s="2" t="s">
        <v>1667</v>
      </c>
      <c r="H632" s="2" t="s">
        <v>1669</v>
      </c>
      <c r="I632" s="1" t="s">
        <v>14</v>
      </c>
      <c r="J632" s="1" t="s">
        <v>2564</v>
      </c>
      <c r="L632" s="53">
        <v>0.156</v>
      </c>
      <c r="M632" s="39">
        <f>120*0.8/2</f>
        <v>48</v>
      </c>
      <c r="N632" s="39"/>
      <c r="O632" s="39">
        <f>120*0.8/2</f>
        <v>48</v>
      </c>
      <c r="P632" s="39"/>
      <c r="Q632" s="39"/>
      <c r="R632" s="39"/>
      <c r="S632" s="39"/>
      <c r="T632" s="39"/>
      <c r="U632" s="39"/>
      <c r="V632" s="39"/>
      <c r="W632" s="60" t="s">
        <v>2543</v>
      </c>
    </row>
    <row r="633" spans="1:23" ht="25.5" x14ac:dyDescent="0.2">
      <c r="A633" s="1" t="s">
        <v>182</v>
      </c>
      <c r="B633" s="2" t="s">
        <v>29</v>
      </c>
      <c r="C633" s="2" t="s">
        <v>183</v>
      </c>
      <c r="D633" s="2" t="s">
        <v>184</v>
      </c>
      <c r="E633" s="2">
        <v>2021</v>
      </c>
      <c r="F633" s="2" t="s">
        <v>1776</v>
      </c>
      <c r="G633" s="2" t="s">
        <v>1667</v>
      </c>
      <c r="H633" s="2" t="s">
        <v>1669</v>
      </c>
      <c r="I633" s="1" t="s">
        <v>14</v>
      </c>
      <c r="J633" s="1" t="s">
        <v>2565</v>
      </c>
      <c r="L633" s="53">
        <v>0.109</v>
      </c>
      <c r="M633" s="39"/>
      <c r="N633" s="39"/>
      <c r="O633" s="39"/>
      <c r="P633" s="39"/>
      <c r="Q633" s="39"/>
      <c r="R633" s="39">
        <v>70.239999999999995</v>
      </c>
      <c r="S633" s="39"/>
      <c r="T633" s="39"/>
      <c r="U633" s="39"/>
      <c r="V633" s="39"/>
      <c r="W633" s="60" t="s">
        <v>2566</v>
      </c>
    </row>
    <row r="634" spans="1:23" ht="25.5" x14ac:dyDescent="0.2">
      <c r="A634" s="1" t="s">
        <v>182</v>
      </c>
      <c r="B634" s="2" t="s">
        <v>29</v>
      </c>
      <c r="C634" s="2" t="s">
        <v>183</v>
      </c>
      <c r="D634" s="2" t="s">
        <v>184</v>
      </c>
      <c r="E634" s="2">
        <v>2021</v>
      </c>
      <c r="F634" s="2" t="s">
        <v>1779</v>
      </c>
      <c r="G634" s="2" t="s">
        <v>1667</v>
      </c>
      <c r="H634" s="2" t="s">
        <v>1669</v>
      </c>
      <c r="I634" s="1" t="s">
        <v>14</v>
      </c>
      <c r="J634" s="1" t="s">
        <v>2567</v>
      </c>
      <c r="L634" s="53">
        <v>9.8000000000000004E-2</v>
      </c>
      <c r="M634" s="39"/>
      <c r="N634" s="39"/>
      <c r="O634" s="39"/>
      <c r="P634" s="39"/>
      <c r="Q634" s="39"/>
      <c r="R634" s="39">
        <v>70.239999999999995</v>
      </c>
      <c r="S634" s="39"/>
      <c r="T634" s="39"/>
      <c r="U634" s="39"/>
      <c r="V634" s="39"/>
      <c r="W634" s="60" t="s">
        <v>2566</v>
      </c>
    </row>
    <row r="635" spans="1:23" ht="25.5" x14ac:dyDescent="0.2">
      <c r="A635" s="1" t="s">
        <v>182</v>
      </c>
      <c r="B635" s="2" t="s">
        <v>29</v>
      </c>
      <c r="C635" s="2" t="s">
        <v>183</v>
      </c>
      <c r="D635" s="2" t="s">
        <v>184</v>
      </c>
      <c r="E635" s="2">
        <v>2021</v>
      </c>
      <c r="F635" s="2" t="s">
        <v>1781</v>
      </c>
      <c r="G635" s="2" t="s">
        <v>1667</v>
      </c>
      <c r="H635" s="2" t="s">
        <v>1669</v>
      </c>
      <c r="I635" s="1" t="s">
        <v>14</v>
      </c>
      <c r="J635" s="1" t="s">
        <v>2568</v>
      </c>
      <c r="L635" s="53">
        <v>0.106</v>
      </c>
      <c r="M635" s="39"/>
      <c r="N635" s="39"/>
      <c r="O635" s="39"/>
      <c r="P635" s="39"/>
      <c r="Q635" s="39"/>
      <c r="R635" s="39">
        <v>83.16</v>
      </c>
      <c r="S635" s="39"/>
      <c r="T635" s="39"/>
      <c r="U635" s="39"/>
      <c r="V635" s="39"/>
      <c r="W635" s="60" t="s">
        <v>2566</v>
      </c>
    </row>
    <row r="636" spans="1:23" ht="25.5" x14ac:dyDescent="0.2">
      <c r="A636" s="1" t="s">
        <v>182</v>
      </c>
      <c r="B636" s="2" t="s">
        <v>29</v>
      </c>
      <c r="C636" s="2" t="s">
        <v>183</v>
      </c>
      <c r="D636" s="2" t="s">
        <v>184</v>
      </c>
      <c r="E636" s="2">
        <v>2021</v>
      </c>
      <c r="F636" s="2" t="s">
        <v>1783</v>
      </c>
      <c r="G636" s="2" t="s">
        <v>1667</v>
      </c>
      <c r="H636" s="2" t="s">
        <v>1669</v>
      </c>
      <c r="I636" s="1" t="s">
        <v>14</v>
      </c>
      <c r="J636" s="1" t="s">
        <v>2569</v>
      </c>
      <c r="L636" s="53">
        <v>9.0999999999999998E-2</v>
      </c>
      <c r="M636" s="39"/>
      <c r="N636" s="39"/>
      <c r="O636" s="39"/>
      <c r="P636" s="39"/>
      <c r="Q636" s="39"/>
      <c r="R636" s="39">
        <v>65.459999999999994</v>
      </c>
      <c r="S636" s="39"/>
      <c r="T636" s="39"/>
      <c r="U636" s="39"/>
      <c r="V636" s="39"/>
      <c r="W636" s="60" t="s">
        <v>2566</v>
      </c>
    </row>
    <row r="637" spans="1:23" ht="25.5" x14ac:dyDescent="0.2">
      <c r="A637" s="1" t="s">
        <v>182</v>
      </c>
      <c r="B637" s="2" t="s">
        <v>29</v>
      </c>
      <c r="C637" s="2" t="s">
        <v>183</v>
      </c>
      <c r="D637" s="2" t="s">
        <v>184</v>
      </c>
      <c r="E637" s="2">
        <v>2021</v>
      </c>
      <c r="F637" s="2" t="s">
        <v>1785</v>
      </c>
      <c r="G637" s="2" t="s">
        <v>1667</v>
      </c>
      <c r="H637" s="2" t="s">
        <v>1669</v>
      </c>
      <c r="I637" s="1" t="s">
        <v>14</v>
      </c>
      <c r="J637" s="1" t="s">
        <v>2570</v>
      </c>
      <c r="L637" s="53">
        <v>9.7699999999999995E-2</v>
      </c>
      <c r="M637" s="39"/>
      <c r="N637" s="39"/>
      <c r="O637" s="39"/>
      <c r="P637" s="39"/>
      <c r="Q637" s="39"/>
      <c r="R637" s="39">
        <v>50.2</v>
      </c>
      <c r="S637" s="39"/>
      <c r="T637" s="39"/>
      <c r="U637" s="39"/>
      <c r="V637" s="39"/>
      <c r="W637" s="60" t="s">
        <v>2566</v>
      </c>
    </row>
    <row r="638" spans="1:23" ht="25.5" x14ac:dyDescent="0.2">
      <c r="A638" s="1" t="s">
        <v>182</v>
      </c>
      <c r="B638" s="2" t="s">
        <v>29</v>
      </c>
      <c r="C638" s="2" t="s">
        <v>183</v>
      </c>
      <c r="D638" s="2" t="s">
        <v>184</v>
      </c>
      <c r="E638" s="2">
        <v>2021</v>
      </c>
      <c r="F638" s="2" t="s">
        <v>1787</v>
      </c>
      <c r="G638" s="2" t="s">
        <v>1667</v>
      </c>
      <c r="H638" s="2" t="s">
        <v>1669</v>
      </c>
      <c r="I638" s="1" t="s">
        <v>14</v>
      </c>
      <c r="J638" s="1" t="s">
        <v>2571</v>
      </c>
      <c r="L638" s="53">
        <v>0.10100000000000001</v>
      </c>
      <c r="M638" s="39"/>
      <c r="N638" s="39"/>
      <c r="O638" s="39"/>
      <c r="P638" s="39"/>
      <c r="Q638" s="39"/>
      <c r="R638" s="39">
        <v>66.069999999999993</v>
      </c>
      <c r="S638" s="39"/>
      <c r="T638" s="39"/>
      <c r="U638" s="39"/>
      <c r="V638" s="39"/>
      <c r="W638" s="60" t="s">
        <v>2566</v>
      </c>
    </row>
    <row r="639" spans="1:23" ht="25.5" x14ac:dyDescent="0.2">
      <c r="A639" s="1" t="s">
        <v>182</v>
      </c>
      <c r="B639" s="2" t="s">
        <v>29</v>
      </c>
      <c r="C639" s="2" t="s">
        <v>183</v>
      </c>
      <c r="D639" s="2" t="s">
        <v>184</v>
      </c>
      <c r="E639" s="2">
        <v>2021</v>
      </c>
      <c r="F639" s="2" t="s">
        <v>1789</v>
      </c>
      <c r="G639" s="2" t="s">
        <v>1667</v>
      </c>
      <c r="H639" s="2" t="s">
        <v>1669</v>
      </c>
      <c r="I639" s="1" t="s">
        <v>14</v>
      </c>
      <c r="J639" s="1" t="s">
        <v>2572</v>
      </c>
      <c r="L639" s="53">
        <v>0.10630000000000001</v>
      </c>
      <c r="M639" s="39"/>
      <c r="N639" s="39"/>
      <c r="O639" s="39"/>
      <c r="P639" s="39"/>
      <c r="Q639" s="39"/>
      <c r="R639" s="39">
        <v>78.37</v>
      </c>
      <c r="S639" s="39"/>
      <c r="T639" s="39"/>
      <c r="U639" s="39"/>
      <c r="V639" s="39"/>
      <c r="W639" s="60" t="s">
        <v>2566</v>
      </c>
    </row>
    <row r="640" spans="1:23" ht="25.5" x14ac:dyDescent="0.2">
      <c r="A640" s="1" t="s">
        <v>182</v>
      </c>
      <c r="B640" s="2" t="s">
        <v>29</v>
      </c>
      <c r="C640" s="2" t="s">
        <v>183</v>
      </c>
      <c r="D640" s="2" t="s">
        <v>184</v>
      </c>
      <c r="E640" s="2">
        <v>2021</v>
      </c>
      <c r="F640" s="2" t="s">
        <v>1791</v>
      </c>
      <c r="G640" s="2" t="s">
        <v>1667</v>
      </c>
      <c r="H640" s="2" t="s">
        <v>1669</v>
      </c>
      <c r="I640" s="1" t="s">
        <v>14</v>
      </c>
      <c r="J640" s="1" t="s">
        <v>2573</v>
      </c>
      <c r="L640" s="53">
        <v>0.11260000000000001</v>
      </c>
      <c r="M640" s="39"/>
      <c r="N640" s="39"/>
      <c r="O640" s="39"/>
      <c r="P640" s="39"/>
      <c r="Q640" s="39"/>
      <c r="R640" s="39">
        <v>62.06</v>
      </c>
      <c r="S640" s="39"/>
      <c r="T640" s="39"/>
      <c r="U640" s="39"/>
      <c r="V640" s="39"/>
      <c r="W640" s="60" t="s">
        <v>2566</v>
      </c>
    </row>
    <row r="641" spans="1:23" ht="25.5" x14ac:dyDescent="0.2">
      <c r="A641" s="1" t="s">
        <v>182</v>
      </c>
      <c r="B641" s="2" t="s">
        <v>29</v>
      </c>
      <c r="C641" s="2" t="s">
        <v>183</v>
      </c>
      <c r="D641" s="2" t="s">
        <v>184</v>
      </c>
      <c r="E641" s="2">
        <v>2021</v>
      </c>
      <c r="F641" s="2" t="s">
        <v>311</v>
      </c>
      <c r="G641" s="2" t="s">
        <v>1667</v>
      </c>
      <c r="H641" s="2" t="s">
        <v>1669</v>
      </c>
      <c r="I641" s="1" t="s">
        <v>14</v>
      </c>
      <c r="J641" s="1" t="s">
        <v>2574</v>
      </c>
      <c r="L641" s="53">
        <v>0.10979999999999999</v>
      </c>
      <c r="M641" s="39"/>
      <c r="N641" s="39"/>
      <c r="O641" s="39"/>
      <c r="P641" s="39"/>
      <c r="Q641" s="39"/>
      <c r="R641" s="39">
        <v>42.69</v>
      </c>
      <c r="S641" s="39"/>
      <c r="T641" s="39"/>
      <c r="U641" s="39"/>
      <c r="V641" s="39"/>
      <c r="W641" s="60" t="s">
        <v>2566</v>
      </c>
    </row>
    <row r="642" spans="1:23" ht="25.5" x14ac:dyDescent="0.2">
      <c r="A642" s="1" t="s">
        <v>182</v>
      </c>
      <c r="B642" s="2" t="s">
        <v>29</v>
      </c>
      <c r="C642" s="2" t="s">
        <v>183</v>
      </c>
      <c r="D642" s="2" t="s">
        <v>184</v>
      </c>
      <c r="E642" s="2">
        <v>2021</v>
      </c>
      <c r="F642" s="2" t="s">
        <v>1794</v>
      </c>
      <c r="G642" s="2" t="s">
        <v>1667</v>
      </c>
      <c r="H642" s="2" t="s">
        <v>1669</v>
      </c>
      <c r="I642" s="1" t="s">
        <v>14</v>
      </c>
      <c r="J642" s="1" t="s">
        <v>2575</v>
      </c>
      <c r="L642" s="53">
        <v>0.1179</v>
      </c>
      <c r="M642" s="39"/>
      <c r="N642" s="39"/>
      <c r="O642" s="39"/>
      <c r="P642" s="39"/>
      <c r="Q642" s="39"/>
      <c r="R642" s="39">
        <v>59.51</v>
      </c>
      <c r="S642" s="39"/>
      <c r="T642" s="39"/>
      <c r="U642" s="39"/>
      <c r="V642" s="39"/>
      <c r="W642" s="60" t="s">
        <v>2566</v>
      </c>
    </row>
    <row r="643" spans="1:23" ht="25.5" x14ac:dyDescent="0.2">
      <c r="A643" s="1" t="s">
        <v>182</v>
      </c>
      <c r="B643" s="2" t="s">
        <v>29</v>
      </c>
      <c r="C643" s="2" t="s">
        <v>183</v>
      </c>
      <c r="D643" s="2" t="s">
        <v>184</v>
      </c>
      <c r="E643" s="2">
        <v>2021</v>
      </c>
      <c r="F643" s="2" t="s">
        <v>1796</v>
      </c>
      <c r="G643" s="2" t="s">
        <v>1667</v>
      </c>
      <c r="H643" s="2" t="s">
        <v>1669</v>
      </c>
      <c r="I643" s="1" t="s">
        <v>14</v>
      </c>
      <c r="J643" s="1" t="s">
        <v>2576</v>
      </c>
      <c r="L643" s="53">
        <v>0.114</v>
      </c>
      <c r="M643" s="39"/>
      <c r="N643" s="39"/>
      <c r="O643" s="39"/>
      <c r="P643" s="39"/>
      <c r="Q643" s="39"/>
      <c r="R643" s="39">
        <v>61.17</v>
      </c>
      <c r="S643" s="39"/>
      <c r="T643" s="39"/>
      <c r="U643" s="39"/>
      <c r="V643" s="39"/>
      <c r="W643" s="60" t="s">
        <v>2566</v>
      </c>
    </row>
    <row r="644" spans="1:23" ht="25.5" x14ac:dyDescent="0.2">
      <c r="A644" s="1" t="s">
        <v>182</v>
      </c>
      <c r="B644" s="2" t="s">
        <v>29</v>
      </c>
      <c r="C644" s="2" t="s">
        <v>183</v>
      </c>
      <c r="D644" s="2" t="s">
        <v>184</v>
      </c>
      <c r="E644" s="2">
        <v>2021</v>
      </c>
      <c r="F644" s="2" t="s">
        <v>1798</v>
      </c>
      <c r="G644" s="2" t="s">
        <v>1667</v>
      </c>
      <c r="H644" s="2" t="s">
        <v>1669</v>
      </c>
      <c r="I644" s="1" t="s">
        <v>14</v>
      </c>
      <c r="J644" s="1" t="s">
        <v>2577</v>
      </c>
      <c r="L644" s="53">
        <v>0.11799999999999999</v>
      </c>
      <c r="M644" s="39"/>
      <c r="N644" s="39"/>
      <c r="O644" s="39"/>
      <c r="P644" s="39"/>
      <c r="Q644" s="39"/>
      <c r="R644" s="39">
        <v>65.12</v>
      </c>
      <c r="S644" s="39"/>
      <c r="T644" s="39"/>
      <c r="U644" s="39"/>
      <c r="V644" s="39"/>
      <c r="W644" s="60" t="s">
        <v>2566</v>
      </c>
    </row>
    <row r="645" spans="1:23" ht="25.5" x14ac:dyDescent="0.2">
      <c r="A645" s="1" t="s">
        <v>2578</v>
      </c>
      <c r="B645" s="2" t="s">
        <v>198</v>
      </c>
      <c r="C645" s="2" t="s">
        <v>2579</v>
      </c>
      <c r="D645" s="2" t="s">
        <v>173</v>
      </c>
      <c r="E645" s="2">
        <v>2021</v>
      </c>
      <c r="F645" s="2" t="s">
        <v>1798</v>
      </c>
      <c r="G645" s="2" t="s">
        <v>1669</v>
      </c>
      <c r="H645" s="2" t="s">
        <v>1668</v>
      </c>
      <c r="I645" s="1" t="s">
        <v>2580</v>
      </c>
      <c r="J645" s="1" t="s">
        <v>14</v>
      </c>
      <c r="L645" s="53"/>
      <c r="M645" s="39"/>
      <c r="N645" s="39"/>
      <c r="O645" s="39"/>
      <c r="P645" s="39"/>
      <c r="Q645" s="39"/>
      <c r="R645" s="39"/>
      <c r="S645" s="39"/>
      <c r="T645" s="39"/>
      <c r="U645" s="39"/>
      <c r="V645" s="39"/>
      <c r="W645" s="60" t="s">
        <v>1693</v>
      </c>
    </row>
    <row r="646" spans="1:23" ht="38.25" x14ac:dyDescent="0.2">
      <c r="A646" s="1" t="s">
        <v>162</v>
      </c>
      <c r="B646" s="2" t="s">
        <v>163</v>
      </c>
      <c r="C646" s="2" t="s">
        <v>164</v>
      </c>
      <c r="D646" s="2" t="s">
        <v>92</v>
      </c>
      <c r="E646" s="2">
        <v>2021</v>
      </c>
      <c r="F646" s="2" t="s">
        <v>1776</v>
      </c>
      <c r="G646" s="2" t="s">
        <v>1669</v>
      </c>
      <c r="H646" s="2" t="s">
        <v>1668</v>
      </c>
      <c r="I646" s="1" t="s">
        <v>2581</v>
      </c>
      <c r="J646" s="1" t="s">
        <v>14</v>
      </c>
      <c r="L646" s="53" t="s">
        <v>1670</v>
      </c>
      <c r="M646" s="39"/>
      <c r="N646" s="39"/>
      <c r="O646" s="39"/>
      <c r="P646" s="39"/>
      <c r="Q646" s="39"/>
      <c r="R646" s="39"/>
      <c r="S646" s="39"/>
      <c r="T646" s="39"/>
      <c r="U646" s="39"/>
      <c r="V646" s="39">
        <v>19.25</v>
      </c>
      <c r="W646" s="60" t="s">
        <v>1711</v>
      </c>
    </row>
    <row r="647" spans="1:23" ht="38.25" x14ac:dyDescent="0.2">
      <c r="A647" s="1" t="s">
        <v>162</v>
      </c>
      <c r="B647" s="2" t="s">
        <v>163</v>
      </c>
      <c r="C647" s="2" t="s">
        <v>164</v>
      </c>
      <c r="D647" s="2" t="s">
        <v>92</v>
      </c>
      <c r="E647" s="2">
        <v>2021</v>
      </c>
      <c r="F647" s="2" t="s">
        <v>1779</v>
      </c>
      <c r="G647" s="2" t="s">
        <v>1669</v>
      </c>
      <c r="H647" s="2" t="s">
        <v>1668</v>
      </c>
      <c r="I647" s="1" t="s">
        <v>2582</v>
      </c>
      <c r="J647" s="1" t="s">
        <v>14</v>
      </c>
      <c r="L647" s="53" t="s">
        <v>1670</v>
      </c>
      <c r="M647" s="39"/>
      <c r="N647" s="39"/>
      <c r="O647" s="39"/>
      <c r="P647" s="39"/>
      <c r="Q647" s="39"/>
      <c r="R647" s="39"/>
      <c r="S647" s="39"/>
      <c r="T647" s="39"/>
      <c r="U647" s="39"/>
      <c r="V647" s="39">
        <v>18.55</v>
      </c>
      <c r="W647" s="60" t="s">
        <v>1711</v>
      </c>
    </row>
    <row r="648" spans="1:23" ht="38.25" x14ac:dyDescent="0.2">
      <c r="A648" s="1" t="s">
        <v>162</v>
      </c>
      <c r="B648" s="2" t="s">
        <v>163</v>
      </c>
      <c r="C648" s="2" t="s">
        <v>164</v>
      </c>
      <c r="D648" s="2" t="s">
        <v>92</v>
      </c>
      <c r="E648" s="2">
        <v>2021</v>
      </c>
      <c r="F648" s="2" t="s">
        <v>1781</v>
      </c>
      <c r="G648" s="2" t="s">
        <v>1669</v>
      </c>
      <c r="H648" s="2" t="s">
        <v>1668</v>
      </c>
      <c r="I648" s="1" t="s">
        <v>2583</v>
      </c>
      <c r="J648" s="1" t="s">
        <v>14</v>
      </c>
      <c r="L648" s="53" t="s">
        <v>1670</v>
      </c>
      <c r="M648" s="39"/>
      <c r="N648" s="39"/>
      <c r="O648" s="39"/>
      <c r="P648" s="39"/>
      <c r="Q648" s="39"/>
      <c r="R648" s="39"/>
      <c r="S648" s="39"/>
      <c r="T648" s="39"/>
      <c r="U648" s="39"/>
      <c r="V648" s="39">
        <v>18.55</v>
      </c>
      <c r="W648" s="60" t="s">
        <v>1711</v>
      </c>
    </row>
    <row r="649" spans="1:23" ht="89.25" x14ac:dyDescent="0.2">
      <c r="A649" s="1" t="s">
        <v>162</v>
      </c>
      <c r="B649" s="2" t="s">
        <v>163</v>
      </c>
      <c r="C649" s="2" t="s">
        <v>164</v>
      </c>
      <c r="D649" s="2" t="s">
        <v>92</v>
      </c>
      <c r="E649" s="2">
        <v>2021</v>
      </c>
      <c r="F649" s="2" t="s">
        <v>1783</v>
      </c>
      <c r="G649" s="2" t="s">
        <v>1669</v>
      </c>
      <c r="H649" s="2" t="s">
        <v>1668</v>
      </c>
      <c r="I649" s="1" t="s">
        <v>2584</v>
      </c>
      <c r="J649" s="1" t="s">
        <v>14</v>
      </c>
      <c r="L649" s="53" t="s">
        <v>1670</v>
      </c>
      <c r="M649" s="39"/>
      <c r="N649" s="39"/>
      <c r="O649" s="39"/>
      <c r="P649" s="39"/>
      <c r="Q649" s="39"/>
      <c r="R649" s="39"/>
      <c r="S649" s="39"/>
      <c r="T649" s="39"/>
      <c r="U649" s="39"/>
      <c r="V649" s="39">
        <f>17.15+16.52</f>
        <v>33.67</v>
      </c>
      <c r="W649" s="60" t="s">
        <v>1711</v>
      </c>
    </row>
    <row r="650" spans="1:23" ht="51" x14ac:dyDescent="0.2">
      <c r="A650" s="1" t="s">
        <v>162</v>
      </c>
      <c r="B650" s="2" t="s">
        <v>163</v>
      </c>
      <c r="C650" s="2" t="s">
        <v>164</v>
      </c>
      <c r="D650" s="2" t="s">
        <v>92</v>
      </c>
      <c r="E650" s="2">
        <v>2021</v>
      </c>
      <c r="F650" s="2" t="s">
        <v>1785</v>
      </c>
      <c r="G650" s="2" t="s">
        <v>1669</v>
      </c>
      <c r="H650" s="2" t="s">
        <v>1668</v>
      </c>
      <c r="I650" s="1" t="s">
        <v>2585</v>
      </c>
      <c r="J650" s="1" t="s">
        <v>14</v>
      </c>
      <c r="L650" s="53" t="s">
        <v>1670</v>
      </c>
      <c r="M650" s="39"/>
      <c r="N650" s="39"/>
      <c r="O650" s="39"/>
      <c r="P650" s="39"/>
      <c r="Q650" s="39"/>
      <c r="R650" s="39"/>
      <c r="S650" s="39"/>
      <c r="T650" s="39"/>
      <c r="U650" s="39"/>
      <c r="V650" s="39">
        <v>18.899999999999999</v>
      </c>
      <c r="W650" s="60" t="s">
        <v>1711</v>
      </c>
    </row>
    <row r="651" spans="1:23" ht="38.25" x14ac:dyDescent="0.2">
      <c r="A651" s="1" t="s">
        <v>162</v>
      </c>
      <c r="B651" s="2" t="s">
        <v>163</v>
      </c>
      <c r="C651" s="2" t="s">
        <v>164</v>
      </c>
      <c r="D651" s="2" t="s">
        <v>92</v>
      </c>
      <c r="E651" s="2">
        <v>2021</v>
      </c>
      <c r="F651" s="2" t="s">
        <v>1787</v>
      </c>
      <c r="G651" s="2" t="s">
        <v>1669</v>
      </c>
      <c r="H651" s="2" t="s">
        <v>1668</v>
      </c>
      <c r="I651" s="1" t="s">
        <v>2586</v>
      </c>
      <c r="J651" s="1" t="s">
        <v>14</v>
      </c>
      <c r="L651" s="53" t="s">
        <v>1670</v>
      </c>
      <c r="M651" s="39"/>
      <c r="N651" s="39"/>
      <c r="O651" s="39"/>
      <c r="P651" s="39"/>
      <c r="Q651" s="39"/>
      <c r="R651" s="39"/>
      <c r="S651" s="39"/>
      <c r="T651" s="39"/>
      <c r="U651" s="39"/>
      <c r="V651" s="39">
        <v>17.8</v>
      </c>
      <c r="W651" s="60" t="s">
        <v>1711</v>
      </c>
    </row>
    <row r="652" spans="1:23" ht="76.5" x14ac:dyDescent="0.2">
      <c r="A652" s="1" t="s">
        <v>162</v>
      </c>
      <c r="B652" s="2" t="s">
        <v>163</v>
      </c>
      <c r="C652" s="2" t="s">
        <v>164</v>
      </c>
      <c r="D652" s="2" t="s">
        <v>92</v>
      </c>
      <c r="E652" s="2">
        <v>2021</v>
      </c>
      <c r="F652" s="2" t="s">
        <v>1789</v>
      </c>
      <c r="G652" s="2" t="s">
        <v>1669</v>
      </c>
      <c r="H652" s="2" t="s">
        <v>1668</v>
      </c>
      <c r="I652" s="1" t="s">
        <v>2587</v>
      </c>
      <c r="J652" s="1" t="s">
        <v>2511</v>
      </c>
      <c r="L652" s="53" t="s">
        <v>1670</v>
      </c>
      <c r="M652" s="39"/>
      <c r="N652" s="39"/>
      <c r="O652" s="39"/>
      <c r="P652" s="39"/>
      <c r="Q652" s="39"/>
      <c r="R652" s="39"/>
      <c r="S652" s="39"/>
      <c r="T652" s="39"/>
      <c r="U652" s="39"/>
      <c r="V652" s="39">
        <f>21.98+18.55</f>
        <v>40.53</v>
      </c>
      <c r="W652" s="60" t="s">
        <v>1711</v>
      </c>
    </row>
    <row r="653" spans="1:23" ht="25.5" x14ac:dyDescent="0.2">
      <c r="A653" s="1" t="s">
        <v>162</v>
      </c>
      <c r="B653" s="2" t="s">
        <v>163</v>
      </c>
      <c r="C653" s="2" t="s">
        <v>164</v>
      </c>
      <c r="D653" s="2" t="s">
        <v>92</v>
      </c>
      <c r="E653" s="2">
        <v>2021</v>
      </c>
      <c r="F653" s="2" t="s">
        <v>311</v>
      </c>
      <c r="G653" s="2" t="s">
        <v>1669</v>
      </c>
      <c r="H653" s="2" t="s">
        <v>1668</v>
      </c>
      <c r="I653" s="1" t="s">
        <v>2588</v>
      </c>
      <c r="J653" s="1" t="s">
        <v>14</v>
      </c>
      <c r="L653" s="53"/>
      <c r="M653" s="39"/>
      <c r="N653" s="39"/>
      <c r="O653" s="39"/>
      <c r="P653" s="39"/>
      <c r="Q653" s="39"/>
      <c r="R653" s="39"/>
      <c r="S653" s="39"/>
      <c r="T653" s="39"/>
      <c r="U653" s="39"/>
      <c r="V653" s="39"/>
      <c r="W653" s="60"/>
    </row>
    <row r="654" spans="1:23" ht="38.25" x14ac:dyDescent="0.2">
      <c r="A654" s="1" t="s">
        <v>162</v>
      </c>
      <c r="B654" s="2" t="s">
        <v>163</v>
      </c>
      <c r="C654" s="2" t="s">
        <v>164</v>
      </c>
      <c r="D654" s="2" t="s">
        <v>92</v>
      </c>
      <c r="E654" s="2">
        <v>2021</v>
      </c>
      <c r="F654" s="2" t="s">
        <v>1794</v>
      </c>
      <c r="G654" s="2" t="s">
        <v>1668</v>
      </c>
      <c r="H654" s="2" t="s">
        <v>1669</v>
      </c>
      <c r="I654" s="1" t="s">
        <v>14</v>
      </c>
      <c r="J654" s="1" t="s">
        <v>2589</v>
      </c>
      <c r="L654" s="53" t="s">
        <v>1670</v>
      </c>
      <c r="M654" s="39"/>
      <c r="N654" s="39"/>
      <c r="O654" s="39"/>
      <c r="P654" s="39"/>
      <c r="Q654" s="39"/>
      <c r="R654" s="39"/>
      <c r="S654" s="39"/>
      <c r="T654" s="39"/>
      <c r="U654" s="39"/>
      <c r="V654" s="39">
        <v>18.600000000000001</v>
      </c>
      <c r="W654" s="60" t="s">
        <v>1711</v>
      </c>
    </row>
    <row r="655" spans="1:23" ht="38.25" x14ac:dyDescent="0.2">
      <c r="A655" s="1" t="s">
        <v>162</v>
      </c>
      <c r="B655" s="2" t="s">
        <v>163</v>
      </c>
      <c r="C655" s="2" t="s">
        <v>164</v>
      </c>
      <c r="D655" s="2" t="s">
        <v>92</v>
      </c>
      <c r="E655" s="2">
        <v>2021</v>
      </c>
      <c r="F655" s="2" t="s">
        <v>1796</v>
      </c>
      <c r="G655" s="2" t="s">
        <v>1668</v>
      </c>
      <c r="H655" s="2" t="s">
        <v>1669</v>
      </c>
      <c r="I655" s="1" t="s">
        <v>14</v>
      </c>
      <c r="J655" s="1" t="s">
        <v>2590</v>
      </c>
      <c r="L655" s="53" t="s">
        <v>1670</v>
      </c>
      <c r="M655" s="39"/>
      <c r="N655" s="39"/>
      <c r="O655" s="39"/>
      <c r="P655" s="39"/>
      <c r="Q655" s="39"/>
      <c r="R655" s="39"/>
      <c r="S655" s="39"/>
      <c r="T655" s="39"/>
      <c r="U655" s="39"/>
      <c r="V655" s="39">
        <v>16.8</v>
      </c>
      <c r="W655" s="60" t="s">
        <v>1711</v>
      </c>
    </row>
    <row r="656" spans="1:23" ht="25.5" x14ac:dyDescent="0.2">
      <c r="A656" s="1" t="s">
        <v>252</v>
      </c>
      <c r="B656" s="2" t="s">
        <v>48</v>
      </c>
      <c r="C656" s="2" t="s">
        <v>253</v>
      </c>
      <c r="D656" s="2" t="s">
        <v>239</v>
      </c>
      <c r="E656" s="2">
        <v>2021</v>
      </c>
      <c r="F656" s="2" t="s">
        <v>1785</v>
      </c>
      <c r="G656" s="2" t="s">
        <v>1667</v>
      </c>
      <c r="H656" s="2" t="s">
        <v>1669</v>
      </c>
      <c r="I656" s="1" t="s">
        <v>14</v>
      </c>
      <c r="J656" s="1" t="s">
        <v>2591</v>
      </c>
      <c r="L656" s="53">
        <v>2.5000000000000001E-2</v>
      </c>
      <c r="M656" s="39"/>
      <c r="N656" s="39"/>
      <c r="O656" s="39">
        <v>467.4</v>
      </c>
      <c r="P656" s="39"/>
      <c r="Q656" s="39"/>
      <c r="R656" s="39"/>
      <c r="S656" s="39"/>
      <c r="T656" s="39"/>
      <c r="U656" s="39"/>
      <c r="V656" s="39"/>
      <c r="W656" s="60"/>
    </row>
    <row r="657" spans="1:23" ht="25.5" x14ac:dyDescent="0.2">
      <c r="A657" s="1" t="s">
        <v>9</v>
      </c>
      <c r="B657" s="2" t="s">
        <v>10</v>
      </c>
      <c r="C657" s="2" t="s">
        <v>11</v>
      </c>
      <c r="D657" s="2" t="s">
        <v>12</v>
      </c>
      <c r="E657" s="2">
        <v>2021</v>
      </c>
      <c r="F657" s="2" t="s">
        <v>1776</v>
      </c>
      <c r="G657" s="2" t="s">
        <v>1667</v>
      </c>
      <c r="H657" s="2" t="s">
        <v>1669</v>
      </c>
      <c r="I657" s="1" t="s">
        <v>14</v>
      </c>
      <c r="J657" s="1" t="s">
        <v>204</v>
      </c>
      <c r="L657" s="53"/>
      <c r="M657" s="39"/>
      <c r="N657" s="39"/>
      <c r="O657" s="39"/>
      <c r="P657" s="39"/>
      <c r="Q657" s="39"/>
      <c r="R657" s="39"/>
      <c r="S657" s="39"/>
      <c r="T657" s="39"/>
      <c r="U657" s="39"/>
      <c r="V657" s="39"/>
      <c r="W657" s="60" t="s">
        <v>1735</v>
      </c>
    </row>
    <row r="658" spans="1:23" ht="25.5" x14ac:dyDescent="0.2">
      <c r="A658" s="1" t="s">
        <v>9</v>
      </c>
      <c r="B658" s="2" t="s">
        <v>10</v>
      </c>
      <c r="C658" s="2" t="s">
        <v>11</v>
      </c>
      <c r="D658" s="2" t="s">
        <v>12</v>
      </c>
      <c r="E658" s="2">
        <v>2021</v>
      </c>
      <c r="F658" s="2" t="s">
        <v>1779</v>
      </c>
      <c r="G658" s="2" t="s">
        <v>1667</v>
      </c>
      <c r="H658" s="2" t="s">
        <v>1669</v>
      </c>
      <c r="I658" s="1" t="s">
        <v>14</v>
      </c>
      <c r="J658" s="1" t="s">
        <v>1046</v>
      </c>
      <c r="L658" s="53"/>
      <c r="M658" s="39"/>
      <c r="N658" s="39"/>
      <c r="O658" s="39"/>
      <c r="P658" s="39"/>
      <c r="Q658" s="39"/>
      <c r="R658" s="39"/>
      <c r="S658" s="39"/>
      <c r="T658" s="39"/>
      <c r="U658" s="39"/>
      <c r="V658" s="39"/>
      <c r="W658" s="60" t="s">
        <v>1735</v>
      </c>
    </row>
    <row r="659" spans="1:23" ht="25.5" x14ac:dyDescent="0.2">
      <c r="A659" s="1" t="s">
        <v>9</v>
      </c>
      <c r="B659" s="2" t="s">
        <v>10</v>
      </c>
      <c r="C659" s="2" t="s">
        <v>11</v>
      </c>
      <c r="D659" s="2" t="s">
        <v>12</v>
      </c>
      <c r="E659" s="2">
        <v>2021</v>
      </c>
      <c r="F659" s="2" t="s">
        <v>1781</v>
      </c>
      <c r="G659" s="2" t="s">
        <v>1667</v>
      </c>
      <c r="H659" s="2" t="s">
        <v>1669</v>
      </c>
      <c r="I659" s="1" t="s">
        <v>14</v>
      </c>
      <c r="J659" s="1" t="s">
        <v>204</v>
      </c>
      <c r="L659" s="53"/>
      <c r="M659" s="39"/>
      <c r="N659" s="39"/>
      <c r="O659" s="39"/>
      <c r="P659" s="39"/>
      <c r="Q659" s="39"/>
      <c r="R659" s="39"/>
      <c r="S659" s="39"/>
      <c r="T659" s="39"/>
      <c r="U659" s="39"/>
      <c r="V659" s="39"/>
      <c r="W659" s="60" t="s">
        <v>1735</v>
      </c>
    </row>
    <row r="660" spans="1:23" ht="25.5" x14ac:dyDescent="0.2">
      <c r="A660" s="1" t="s">
        <v>9</v>
      </c>
      <c r="B660" s="2" t="s">
        <v>10</v>
      </c>
      <c r="C660" s="2" t="s">
        <v>11</v>
      </c>
      <c r="D660" s="2" t="s">
        <v>12</v>
      </c>
      <c r="E660" s="2">
        <v>2021</v>
      </c>
      <c r="F660" s="2" t="s">
        <v>1783</v>
      </c>
      <c r="G660" s="2" t="s">
        <v>1667</v>
      </c>
      <c r="H660" s="2" t="s">
        <v>1669</v>
      </c>
      <c r="I660" s="1" t="s">
        <v>14</v>
      </c>
      <c r="J660" s="1" t="s">
        <v>189</v>
      </c>
      <c r="L660" s="53"/>
      <c r="M660" s="39"/>
      <c r="N660" s="39"/>
      <c r="O660" s="39"/>
      <c r="P660" s="39"/>
      <c r="Q660" s="39"/>
      <c r="R660" s="39"/>
      <c r="S660" s="39"/>
      <c r="T660" s="39"/>
      <c r="U660" s="39"/>
      <c r="V660" s="39"/>
      <c r="W660" s="60" t="s">
        <v>1735</v>
      </c>
    </row>
    <row r="661" spans="1:23" ht="25.5" x14ac:dyDescent="0.2">
      <c r="A661" s="1" t="s">
        <v>9</v>
      </c>
      <c r="B661" s="2" t="s">
        <v>10</v>
      </c>
      <c r="C661" s="2" t="s">
        <v>11</v>
      </c>
      <c r="D661" s="2" t="s">
        <v>12</v>
      </c>
      <c r="E661" s="2">
        <v>2021</v>
      </c>
      <c r="F661" s="2" t="s">
        <v>1785</v>
      </c>
      <c r="G661" s="2" t="s">
        <v>1667</v>
      </c>
      <c r="H661" s="2" t="s">
        <v>1669</v>
      </c>
      <c r="I661" s="1" t="s">
        <v>14</v>
      </c>
      <c r="J661" s="1" t="s">
        <v>2592</v>
      </c>
      <c r="L661" s="53"/>
      <c r="M661" s="39"/>
      <c r="N661" s="39"/>
      <c r="O661" s="39"/>
      <c r="P661" s="39"/>
      <c r="Q661" s="39"/>
      <c r="R661" s="39"/>
      <c r="S661" s="39"/>
      <c r="T661" s="39"/>
      <c r="U661" s="39"/>
      <c r="V661" s="39"/>
      <c r="W661" s="60" t="s">
        <v>1735</v>
      </c>
    </row>
    <row r="662" spans="1:23" ht="25.5" x14ac:dyDescent="0.2">
      <c r="A662" s="1" t="s">
        <v>9</v>
      </c>
      <c r="B662" s="2" t="s">
        <v>10</v>
      </c>
      <c r="C662" s="2" t="s">
        <v>11</v>
      </c>
      <c r="D662" s="2" t="s">
        <v>12</v>
      </c>
      <c r="E662" s="2">
        <v>2021</v>
      </c>
      <c r="F662" s="2" t="s">
        <v>1787</v>
      </c>
      <c r="G662" s="2" t="s">
        <v>1667</v>
      </c>
      <c r="H662" s="2" t="s">
        <v>1669</v>
      </c>
      <c r="I662" s="1" t="s">
        <v>14</v>
      </c>
      <c r="J662" s="1" t="s">
        <v>2593</v>
      </c>
      <c r="L662" s="53"/>
      <c r="M662" s="39"/>
      <c r="N662" s="39"/>
      <c r="O662" s="39"/>
      <c r="P662" s="39"/>
      <c r="Q662" s="39"/>
      <c r="R662" s="39"/>
      <c r="S662" s="39"/>
      <c r="T662" s="39"/>
      <c r="U662" s="39"/>
      <c r="V662" s="39"/>
      <c r="W662" s="60" t="s">
        <v>1735</v>
      </c>
    </row>
    <row r="663" spans="1:23" ht="25.5" x14ac:dyDescent="0.2">
      <c r="A663" s="1" t="s">
        <v>9</v>
      </c>
      <c r="B663" s="2" t="s">
        <v>10</v>
      </c>
      <c r="C663" s="2" t="s">
        <v>11</v>
      </c>
      <c r="D663" s="2" t="s">
        <v>12</v>
      </c>
      <c r="E663" s="2">
        <v>2021</v>
      </c>
      <c r="F663" s="2" t="s">
        <v>1789</v>
      </c>
      <c r="G663" s="2" t="s">
        <v>1667</v>
      </c>
      <c r="H663" s="2" t="s">
        <v>1669</v>
      </c>
      <c r="I663" s="1" t="s">
        <v>14</v>
      </c>
      <c r="J663" s="1" t="s">
        <v>881</v>
      </c>
      <c r="L663" s="53"/>
      <c r="M663" s="39"/>
      <c r="N663" s="39"/>
      <c r="O663" s="39"/>
      <c r="P663" s="39"/>
      <c r="Q663" s="39"/>
      <c r="R663" s="39"/>
      <c r="S663" s="39"/>
      <c r="T663" s="39"/>
      <c r="U663" s="39"/>
      <c r="V663" s="39"/>
      <c r="W663" s="60" t="s">
        <v>1735</v>
      </c>
    </row>
    <row r="664" spans="1:23" ht="25.5" x14ac:dyDescent="0.2">
      <c r="A664" s="1" t="s">
        <v>9</v>
      </c>
      <c r="B664" s="2" t="s">
        <v>10</v>
      </c>
      <c r="C664" s="2" t="s">
        <v>11</v>
      </c>
      <c r="D664" s="2" t="s">
        <v>12</v>
      </c>
      <c r="E664" s="2">
        <v>2021</v>
      </c>
      <c r="F664" s="2" t="s">
        <v>1791</v>
      </c>
      <c r="G664" s="2" t="s">
        <v>1667</v>
      </c>
      <c r="H664" s="2" t="s">
        <v>1669</v>
      </c>
      <c r="I664" s="1" t="s">
        <v>14</v>
      </c>
      <c r="J664" s="1" t="s">
        <v>881</v>
      </c>
      <c r="L664" s="53"/>
      <c r="M664" s="39"/>
      <c r="N664" s="39"/>
      <c r="O664" s="39"/>
      <c r="P664" s="39"/>
      <c r="Q664" s="39"/>
      <c r="R664" s="39"/>
      <c r="S664" s="39"/>
      <c r="T664" s="39"/>
      <c r="U664" s="39"/>
      <c r="V664" s="39"/>
      <c r="W664" s="60" t="s">
        <v>1735</v>
      </c>
    </row>
    <row r="665" spans="1:23" ht="25.5" x14ac:dyDescent="0.2">
      <c r="A665" s="1" t="s">
        <v>9</v>
      </c>
      <c r="B665" s="2" t="s">
        <v>10</v>
      </c>
      <c r="C665" s="2" t="s">
        <v>11</v>
      </c>
      <c r="D665" s="2" t="s">
        <v>12</v>
      </c>
      <c r="E665" s="2">
        <v>2021</v>
      </c>
      <c r="F665" s="2" t="s">
        <v>311</v>
      </c>
      <c r="G665" s="2" t="s">
        <v>1667</v>
      </c>
      <c r="H665" s="2" t="s">
        <v>1669</v>
      </c>
      <c r="I665" s="1" t="s">
        <v>14</v>
      </c>
      <c r="J665" s="1" t="s">
        <v>1046</v>
      </c>
      <c r="L665" s="53"/>
      <c r="M665" s="39"/>
      <c r="N665" s="39"/>
      <c r="O665" s="39"/>
      <c r="P665" s="39"/>
      <c r="Q665" s="39"/>
      <c r="R665" s="39"/>
      <c r="S665" s="39"/>
      <c r="T665" s="39"/>
      <c r="U665" s="39"/>
      <c r="V665" s="39"/>
      <c r="W665" s="60" t="s">
        <v>1735</v>
      </c>
    </row>
    <row r="666" spans="1:23" ht="25.5" x14ac:dyDescent="0.2">
      <c r="A666" s="1" t="s">
        <v>9</v>
      </c>
      <c r="B666" s="2" t="s">
        <v>10</v>
      </c>
      <c r="C666" s="2" t="s">
        <v>11</v>
      </c>
      <c r="D666" s="2" t="s">
        <v>12</v>
      </c>
      <c r="E666" s="2">
        <v>2021</v>
      </c>
      <c r="F666" s="2" t="s">
        <v>1794</v>
      </c>
      <c r="G666" s="2" t="s">
        <v>1667</v>
      </c>
      <c r="H666" s="2" t="s">
        <v>1669</v>
      </c>
      <c r="I666" s="1" t="s">
        <v>14</v>
      </c>
      <c r="J666" s="1" t="s">
        <v>2593</v>
      </c>
      <c r="L666" s="53"/>
      <c r="M666" s="39"/>
      <c r="N666" s="39"/>
      <c r="O666" s="39"/>
      <c r="P666" s="39"/>
      <c r="Q666" s="39"/>
      <c r="R666" s="39"/>
      <c r="S666" s="39"/>
      <c r="T666" s="39"/>
      <c r="U666" s="39"/>
      <c r="V666" s="39"/>
      <c r="W666" s="60" t="s">
        <v>1735</v>
      </c>
    </row>
    <row r="667" spans="1:23" ht="25.5" x14ac:dyDescent="0.2">
      <c r="A667" s="1" t="s">
        <v>9</v>
      </c>
      <c r="B667" s="2" t="s">
        <v>10</v>
      </c>
      <c r="C667" s="2" t="s">
        <v>11</v>
      </c>
      <c r="D667" s="2" t="s">
        <v>12</v>
      </c>
      <c r="E667" s="2">
        <v>2021</v>
      </c>
      <c r="F667" s="2" t="s">
        <v>1796</v>
      </c>
      <c r="G667" s="2" t="s">
        <v>1667</v>
      </c>
      <c r="H667" s="2" t="s">
        <v>1669</v>
      </c>
      <c r="I667" s="1" t="s">
        <v>14</v>
      </c>
      <c r="J667" s="1" t="s">
        <v>881</v>
      </c>
      <c r="L667" s="53"/>
      <c r="M667" s="39"/>
      <c r="N667" s="39"/>
      <c r="O667" s="39"/>
      <c r="P667" s="39"/>
      <c r="Q667" s="39"/>
      <c r="R667" s="39"/>
      <c r="S667" s="39"/>
      <c r="T667" s="39"/>
      <c r="U667" s="39"/>
      <c r="V667" s="39"/>
      <c r="W667" s="60" t="s">
        <v>1735</v>
      </c>
    </row>
    <row r="668" spans="1:23" ht="25.5" x14ac:dyDescent="0.2">
      <c r="A668" s="1" t="s">
        <v>9</v>
      </c>
      <c r="B668" s="2" t="s">
        <v>10</v>
      </c>
      <c r="C668" s="2" t="s">
        <v>11</v>
      </c>
      <c r="D668" s="2" t="s">
        <v>12</v>
      </c>
      <c r="E668" s="2">
        <v>2021</v>
      </c>
      <c r="F668" s="2" t="s">
        <v>1798</v>
      </c>
      <c r="G668" s="2" t="s">
        <v>1667</v>
      </c>
      <c r="H668" s="2" t="s">
        <v>1669</v>
      </c>
      <c r="I668" s="1" t="s">
        <v>14</v>
      </c>
      <c r="J668" s="1" t="s">
        <v>881</v>
      </c>
      <c r="L668" s="53"/>
      <c r="M668" s="39"/>
      <c r="N668" s="39"/>
      <c r="O668" s="39"/>
      <c r="P668" s="39"/>
      <c r="Q668" s="39"/>
      <c r="R668" s="39"/>
      <c r="S668" s="39"/>
      <c r="T668" s="39"/>
      <c r="U668" s="39"/>
      <c r="V668" s="39"/>
      <c r="W668" s="60" t="s">
        <v>1735</v>
      </c>
    </row>
    <row r="669" spans="1:23" ht="25.5" x14ac:dyDescent="0.2">
      <c r="A669" s="1" t="s">
        <v>2594</v>
      </c>
      <c r="B669" s="2" t="s">
        <v>196</v>
      </c>
      <c r="C669" s="2" t="s">
        <v>2595</v>
      </c>
      <c r="D669" s="2" t="s">
        <v>450</v>
      </c>
      <c r="E669" s="2">
        <v>2021</v>
      </c>
      <c r="F669" s="2" t="s">
        <v>1785</v>
      </c>
      <c r="G669" s="2" t="s">
        <v>1669</v>
      </c>
      <c r="H669" s="2" t="s">
        <v>1668</v>
      </c>
      <c r="I669" s="1" t="s">
        <v>2596</v>
      </c>
      <c r="J669" s="1" t="s">
        <v>14</v>
      </c>
      <c r="L669" s="53"/>
      <c r="M669" s="39"/>
      <c r="N669" s="39"/>
      <c r="O669" s="39"/>
      <c r="P669" s="39"/>
      <c r="Q669" s="39"/>
      <c r="R669" s="39"/>
      <c r="S669" s="39"/>
      <c r="T669" s="39"/>
      <c r="U669" s="39"/>
      <c r="V669" s="39"/>
      <c r="W669" s="60" t="s">
        <v>1706</v>
      </c>
    </row>
    <row r="670" spans="1:23" ht="25.5" x14ac:dyDescent="0.2">
      <c r="A670" s="1" t="s">
        <v>2594</v>
      </c>
      <c r="B670" s="2" t="s">
        <v>196</v>
      </c>
      <c r="C670" s="2" t="s">
        <v>2595</v>
      </c>
      <c r="D670" s="2" t="s">
        <v>450</v>
      </c>
      <c r="E670" s="2">
        <v>2021</v>
      </c>
      <c r="F670" s="2" t="s">
        <v>1787</v>
      </c>
      <c r="G670" s="2" t="s">
        <v>1669</v>
      </c>
      <c r="H670" s="2" t="s">
        <v>1668</v>
      </c>
      <c r="I670" s="1" t="s">
        <v>2597</v>
      </c>
      <c r="J670" s="1" t="s">
        <v>14</v>
      </c>
      <c r="L670" s="53"/>
      <c r="M670" s="39"/>
      <c r="N670" s="39"/>
      <c r="O670" s="39"/>
      <c r="P670" s="39"/>
      <c r="Q670" s="39"/>
      <c r="R670" s="39"/>
      <c r="S670" s="39"/>
      <c r="T670" s="39"/>
      <c r="U670" s="39"/>
      <c r="V670" s="39"/>
      <c r="W670" s="60" t="s">
        <v>1706</v>
      </c>
    </row>
    <row r="671" spans="1:23" ht="229.5" x14ac:dyDescent="0.2">
      <c r="A671" s="1" t="s">
        <v>2594</v>
      </c>
      <c r="B671" s="2" t="s">
        <v>196</v>
      </c>
      <c r="C671" s="2" t="s">
        <v>2595</v>
      </c>
      <c r="D671" s="2" t="s">
        <v>450</v>
      </c>
      <c r="E671" s="2">
        <v>2021</v>
      </c>
      <c r="F671" s="2" t="s">
        <v>1789</v>
      </c>
      <c r="G671" s="2" t="s">
        <v>1669</v>
      </c>
      <c r="H671" s="2" t="s">
        <v>1668</v>
      </c>
      <c r="I671" s="1" t="s">
        <v>2598</v>
      </c>
      <c r="J671" s="1" t="s">
        <v>14</v>
      </c>
      <c r="L671" s="53"/>
      <c r="M671" s="39"/>
      <c r="N671" s="39"/>
      <c r="O671" s="39"/>
      <c r="P671" s="39"/>
      <c r="Q671" s="39"/>
      <c r="R671" s="39"/>
      <c r="S671" s="39"/>
      <c r="T671" s="39"/>
      <c r="U671" s="39"/>
      <c r="V671" s="39"/>
      <c r="W671" s="60" t="s">
        <v>1706</v>
      </c>
    </row>
    <row r="672" spans="1:23" ht="102" x14ac:dyDescent="0.2">
      <c r="A672" s="1" t="s">
        <v>227</v>
      </c>
      <c r="B672" s="2" t="s">
        <v>228</v>
      </c>
      <c r="C672" s="2" t="s">
        <v>229</v>
      </c>
      <c r="D672" s="2" t="s">
        <v>230</v>
      </c>
      <c r="E672" s="2">
        <v>2021</v>
      </c>
      <c r="F672" s="2" t="s">
        <v>1785</v>
      </c>
      <c r="G672" s="2" t="s">
        <v>1669</v>
      </c>
      <c r="H672" s="2" t="s">
        <v>1669</v>
      </c>
      <c r="I672" s="1" t="s">
        <v>2599</v>
      </c>
      <c r="J672" s="1" t="s">
        <v>2600</v>
      </c>
      <c r="L672" s="53">
        <v>3.3000000000000002E-2</v>
      </c>
      <c r="M672" s="39"/>
      <c r="N672" s="39"/>
      <c r="O672" s="39"/>
      <c r="P672" s="39"/>
      <c r="Q672" s="39"/>
      <c r="R672" s="39"/>
      <c r="S672" s="39"/>
      <c r="T672" s="39"/>
      <c r="U672" s="39"/>
      <c r="V672" s="39">
        <v>28.77</v>
      </c>
      <c r="W672" s="60" t="s">
        <v>1699</v>
      </c>
    </row>
    <row r="673" spans="1:23" ht="25.5" x14ac:dyDescent="0.2">
      <c r="A673" s="1" t="s">
        <v>185</v>
      </c>
      <c r="B673" s="2" t="s">
        <v>38</v>
      </c>
      <c r="C673" s="2" t="s">
        <v>186</v>
      </c>
      <c r="D673" s="2" t="s">
        <v>187</v>
      </c>
      <c r="E673" s="2">
        <v>2021</v>
      </c>
      <c r="F673" s="2" t="s">
        <v>1779</v>
      </c>
      <c r="G673" s="2" t="s">
        <v>1667</v>
      </c>
      <c r="H673" s="2" t="s">
        <v>1669</v>
      </c>
      <c r="I673" s="1" t="s">
        <v>14</v>
      </c>
      <c r="J673" s="1" t="s">
        <v>2601</v>
      </c>
      <c r="L673" s="53"/>
      <c r="M673" s="39"/>
      <c r="N673" s="39"/>
      <c r="O673" s="39"/>
      <c r="P673" s="39"/>
      <c r="Q673" s="39"/>
      <c r="R673" s="39"/>
      <c r="S673" s="39"/>
      <c r="T673" s="39"/>
      <c r="U673" s="39"/>
      <c r="V673" s="39"/>
      <c r="W673" s="60" t="s">
        <v>1695</v>
      </c>
    </row>
    <row r="674" spans="1:23" ht="25.5" x14ac:dyDescent="0.2">
      <c r="A674" s="1" t="s">
        <v>185</v>
      </c>
      <c r="B674" s="2" t="s">
        <v>38</v>
      </c>
      <c r="C674" s="2" t="s">
        <v>186</v>
      </c>
      <c r="D674" s="2" t="s">
        <v>187</v>
      </c>
      <c r="E674" s="2">
        <v>2021</v>
      </c>
      <c r="F674" s="2" t="s">
        <v>1789</v>
      </c>
      <c r="G674" s="2" t="s">
        <v>1667</v>
      </c>
      <c r="H674" s="2" t="s">
        <v>1669</v>
      </c>
      <c r="I674" s="1" t="s">
        <v>14</v>
      </c>
      <c r="J674" s="1" t="s">
        <v>2602</v>
      </c>
      <c r="L674" s="53"/>
      <c r="M674" s="39"/>
      <c r="N674" s="39"/>
      <c r="O674" s="39"/>
      <c r="P674" s="39"/>
      <c r="Q674" s="39"/>
      <c r="R674" s="39"/>
      <c r="S674" s="39"/>
      <c r="T674" s="39"/>
      <c r="U674" s="39"/>
      <c r="V674" s="39"/>
      <c r="W674" s="60" t="s">
        <v>1695</v>
      </c>
    </row>
    <row r="675" spans="1:23" ht="76.5" x14ac:dyDescent="0.2">
      <c r="A675" s="1" t="s">
        <v>185</v>
      </c>
      <c r="B675" s="2" t="s">
        <v>38</v>
      </c>
      <c r="C675" s="2" t="s">
        <v>186</v>
      </c>
      <c r="D675" s="2" t="s">
        <v>187</v>
      </c>
      <c r="E675" s="2">
        <v>2021</v>
      </c>
      <c r="F675" s="2" t="s">
        <v>311</v>
      </c>
      <c r="G675" s="2" t="s">
        <v>1667</v>
      </c>
      <c r="H675" s="2" t="s">
        <v>1669</v>
      </c>
      <c r="I675" s="1" t="s">
        <v>14</v>
      </c>
      <c r="J675" s="1" t="s">
        <v>2603</v>
      </c>
      <c r="L675" s="53"/>
      <c r="M675" s="39"/>
      <c r="N675" s="39"/>
      <c r="O675" s="39"/>
      <c r="P675" s="39"/>
      <c r="Q675" s="39"/>
      <c r="R675" s="39"/>
      <c r="S675" s="39"/>
      <c r="T675" s="39"/>
      <c r="U675" s="39"/>
      <c r="V675" s="39"/>
      <c r="W675" s="60" t="s">
        <v>1695</v>
      </c>
    </row>
    <row r="676" spans="1:23" ht="76.5" x14ac:dyDescent="0.2">
      <c r="A676" s="1" t="s">
        <v>185</v>
      </c>
      <c r="B676" s="2" t="s">
        <v>38</v>
      </c>
      <c r="C676" s="2" t="s">
        <v>186</v>
      </c>
      <c r="D676" s="2" t="s">
        <v>187</v>
      </c>
      <c r="E676" s="2">
        <v>2021</v>
      </c>
      <c r="F676" s="2" t="s">
        <v>1794</v>
      </c>
      <c r="G676" s="2" t="s">
        <v>1667</v>
      </c>
      <c r="H676" s="2" t="s">
        <v>1669</v>
      </c>
      <c r="I676" s="1" t="s">
        <v>14</v>
      </c>
      <c r="J676" s="1" t="s">
        <v>2604</v>
      </c>
      <c r="L676" s="53"/>
      <c r="M676" s="39"/>
      <c r="N676" s="39"/>
      <c r="O676" s="39"/>
      <c r="P676" s="39"/>
      <c r="Q676" s="39"/>
      <c r="R676" s="39"/>
      <c r="S676" s="39"/>
      <c r="T676" s="39"/>
      <c r="U676" s="39"/>
      <c r="V676" s="39"/>
      <c r="W676" s="60" t="s">
        <v>1695</v>
      </c>
    </row>
    <row r="677" spans="1:23" ht="38.25" x14ac:dyDescent="0.2">
      <c r="A677" s="1" t="s">
        <v>137</v>
      </c>
      <c r="B677" s="2" t="s">
        <v>29</v>
      </c>
      <c r="C677" s="2" t="s">
        <v>138</v>
      </c>
      <c r="D677" s="2" t="s">
        <v>33</v>
      </c>
      <c r="E677" s="2">
        <v>2021</v>
      </c>
      <c r="F677" s="2" t="s">
        <v>1776</v>
      </c>
      <c r="G677" s="2" t="s">
        <v>1667</v>
      </c>
      <c r="H677" s="2" t="s">
        <v>1669</v>
      </c>
      <c r="I677" s="1" t="s">
        <v>14</v>
      </c>
      <c r="J677" s="1" t="s">
        <v>2605</v>
      </c>
      <c r="L677" s="53">
        <v>0.24299999999999999</v>
      </c>
      <c r="M677" s="39"/>
      <c r="N677" s="39"/>
      <c r="O677" s="39">
        <v>26.39</v>
      </c>
      <c r="P677" s="39"/>
      <c r="Q677" s="39"/>
      <c r="R677" s="39"/>
      <c r="S677" s="39"/>
      <c r="T677" s="39"/>
      <c r="U677" s="39"/>
      <c r="V677" s="39"/>
      <c r="W677" s="60"/>
    </row>
    <row r="678" spans="1:23" ht="38.25" x14ac:dyDescent="0.2">
      <c r="A678" s="1" t="s">
        <v>137</v>
      </c>
      <c r="B678" s="2" t="s">
        <v>29</v>
      </c>
      <c r="C678" s="2" t="s">
        <v>138</v>
      </c>
      <c r="D678" s="2" t="s">
        <v>33</v>
      </c>
      <c r="E678" s="2">
        <v>2021</v>
      </c>
      <c r="F678" s="2" t="s">
        <v>1779</v>
      </c>
      <c r="G678" s="2" t="s">
        <v>1667</v>
      </c>
      <c r="H678" s="2" t="s">
        <v>1669</v>
      </c>
      <c r="I678" s="1" t="s">
        <v>14</v>
      </c>
      <c r="J678" s="1" t="s">
        <v>2606</v>
      </c>
      <c r="L678" s="53">
        <v>0.27200000000000002</v>
      </c>
      <c r="M678" s="39"/>
      <c r="N678" s="39"/>
      <c r="O678" s="39">
        <v>33.06</v>
      </c>
      <c r="P678" s="39"/>
      <c r="Q678" s="39"/>
      <c r="R678" s="39"/>
      <c r="S678" s="39"/>
      <c r="T678" s="39"/>
      <c r="U678" s="39"/>
      <c r="V678" s="39"/>
      <c r="W678" s="60"/>
    </row>
    <row r="679" spans="1:23" ht="38.25" x14ac:dyDescent="0.2">
      <c r="A679" s="1" t="s">
        <v>137</v>
      </c>
      <c r="B679" s="2" t="s">
        <v>29</v>
      </c>
      <c r="C679" s="2" t="s">
        <v>138</v>
      </c>
      <c r="D679" s="2" t="s">
        <v>33</v>
      </c>
      <c r="E679" s="2">
        <v>2021</v>
      </c>
      <c r="F679" s="2" t="s">
        <v>1781</v>
      </c>
      <c r="G679" s="2" t="s">
        <v>1667</v>
      </c>
      <c r="H679" s="2" t="s">
        <v>1669</v>
      </c>
      <c r="I679" s="1" t="s">
        <v>14</v>
      </c>
      <c r="J679" s="1" t="s">
        <v>2607</v>
      </c>
      <c r="L679" s="53">
        <v>0.27100000000000002</v>
      </c>
      <c r="M679" s="39"/>
      <c r="N679" s="39"/>
      <c r="O679" s="39">
        <v>43.91</v>
      </c>
      <c r="P679" s="39"/>
      <c r="Q679" s="39"/>
      <c r="R679" s="39"/>
      <c r="S679" s="39"/>
      <c r="T679" s="39"/>
      <c r="U679" s="39"/>
      <c r="V679" s="39"/>
      <c r="W679" s="60"/>
    </row>
    <row r="680" spans="1:23" ht="38.25" x14ac:dyDescent="0.2">
      <c r="A680" s="1" t="s">
        <v>137</v>
      </c>
      <c r="B680" s="2" t="s">
        <v>29</v>
      </c>
      <c r="C680" s="2" t="s">
        <v>138</v>
      </c>
      <c r="D680" s="2" t="s">
        <v>33</v>
      </c>
      <c r="E680" s="2">
        <v>2021</v>
      </c>
      <c r="F680" s="2" t="s">
        <v>1783</v>
      </c>
      <c r="G680" s="2" t="s">
        <v>1667</v>
      </c>
      <c r="H680" s="2" t="s">
        <v>1669</v>
      </c>
      <c r="I680" s="1" t="s">
        <v>14</v>
      </c>
      <c r="J680" s="1" t="s">
        <v>2608</v>
      </c>
      <c r="L680" s="53">
        <v>0.312</v>
      </c>
      <c r="M680" s="39"/>
      <c r="N680" s="39"/>
      <c r="O680" s="39">
        <v>51.57</v>
      </c>
      <c r="P680" s="39"/>
      <c r="Q680" s="39"/>
      <c r="R680" s="39"/>
      <c r="S680" s="39"/>
      <c r="T680" s="39"/>
      <c r="U680" s="39"/>
      <c r="V680" s="39"/>
      <c r="W680" s="60"/>
    </row>
    <row r="681" spans="1:23" ht="38.25" x14ac:dyDescent="0.2">
      <c r="A681" s="1" t="s">
        <v>137</v>
      </c>
      <c r="B681" s="2" t="s">
        <v>29</v>
      </c>
      <c r="C681" s="2" t="s">
        <v>138</v>
      </c>
      <c r="D681" s="2" t="s">
        <v>33</v>
      </c>
      <c r="E681" s="2">
        <v>2021</v>
      </c>
      <c r="F681" s="2" t="s">
        <v>1785</v>
      </c>
      <c r="G681" s="2" t="s">
        <v>1667</v>
      </c>
      <c r="H681" s="2" t="s">
        <v>1669</v>
      </c>
      <c r="I681" s="1" t="s">
        <v>14</v>
      </c>
      <c r="J681" s="1" t="s">
        <v>2609</v>
      </c>
      <c r="L681" s="53">
        <v>0.34599999999999997</v>
      </c>
      <c r="M681" s="39"/>
      <c r="N681" s="39"/>
      <c r="O681" s="39">
        <v>36.42</v>
      </c>
      <c r="P681" s="39"/>
      <c r="Q681" s="39"/>
      <c r="R681" s="39"/>
      <c r="S681" s="39"/>
      <c r="T681" s="39"/>
      <c r="U681" s="39"/>
      <c r="V681" s="39"/>
      <c r="W681" s="60"/>
    </row>
    <row r="682" spans="1:23" ht="38.25" x14ac:dyDescent="0.2">
      <c r="A682" s="1" t="s">
        <v>137</v>
      </c>
      <c r="B682" s="2" t="s">
        <v>29</v>
      </c>
      <c r="C682" s="2" t="s">
        <v>138</v>
      </c>
      <c r="D682" s="2" t="s">
        <v>33</v>
      </c>
      <c r="E682" s="2">
        <v>2021</v>
      </c>
      <c r="F682" s="2" t="s">
        <v>1787</v>
      </c>
      <c r="G682" s="2" t="s">
        <v>1667</v>
      </c>
      <c r="H682" s="2" t="s">
        <v>1669</v>
      </c>
      <c r="I682" s="1" t="s">
        <v>14</v>
      </c>
      <c r="J682" s="1" t="s">
        <v>2610</v>
      </c>
      <c r="L682" s="53">
        <v>0.24</v>
      </c>
      <c r="M682" s="39"/>
      <c r="N682" s="39"/>
      <c r="O682" s="39">
        <v>54.08</v>
      </c>
      <c r="P682" s="39"/>
      <c r="Q682" s="39"/>
      <c r="R682" s="39"/>
      <c r="S682" s="39"/>
      <c r="T682" s="39"/>
      <c r="U682" s="39"/>
      <c r="V682" s="39"/>
      <c r="W682" s="60"/>
    </row>
    <row r="683" spans="1:23" ht="38.25" x14ac:dyDescent="0.2">
      <c r="A683" s="1" t="s">
        <v>137</v>
      </c>
      <c r="B683" s="2" t="s">
        <v>29</v>
      </c>
      <c r="C683" s="2" t="s">
        <v>138</v>
      </c>
      <c r="D683" s="2" t="s">
        <v>33</v>
      </c>
      <c r="E683" s="2">
        <v>2021</v>
      </c>
      <c r="F683" s="2" t="s">
        <v>1789</v>
      </c>
      <c r="G683" s="2" t="s">
        <v>1667</v>
      </c>
      <c r="H683" s="2" t="s">
        <v>1669</v>
      </c>
      <c r="I683" s="1" t="s">
        <v>14</v>
      </c>
      <c r="J683" s="1" t="s">
        <v>2611</v>
      </c>
      <c r="L683" s="53">
        <v>0.254</v>
      </c>
      <c r="M683" s="39"/>
      <c r="N683" s="39"/>
      <c r="O683" s="39">
        <v>48.25</v>
      </c>
      <c r="P683" s="39"/>
      <c r="Q683" s="39"/>
      <c r="R683" s="39"/>
      <c r="S683" s="39"/>
      <c r="T683" s="39"/>
      <c r="U683" s="39"/>
      <c r="V683" s="39"/>
      <c r="W683" s="60"/>
    </row>
    <row r="684" spans="1:23" ht="38.25" x14ac:dyDescent="0.2">
      <c r="A684" s="1" t="s">
        <v>137</v>
      </c>
      <c r="B684" s="2" t="s">
        <v>29</v>
      </c>
      <c r="C684" s="2" t="s">
        <v>138</v>
      </c>
      <c r="D684" s="2" t="s">
        <v>33</v>
      </c>
      <c r="E684" s="2">
        <v>2021</v>
      </c>
      <c r="F684" s="2" t="s">
        <v>1791</v>
      </c>
      <c r="G684" s="2" t="s">
        <v>1667</v>
      </c>
      <c r="H684" s="2" t="s">
        <v>1669</v>
      </c>
      <c r="I684" s="1" t="s">
        <v>14</v>
      </c>
      <c r="J684" s="1" t="s">
        <v>2612</v>
      </c>
      <c r="L684" s="53">
        <v>0.26600000000000001</v>
      </c>
      <c r="M684" s="39"/>
      <c r="N684" s="39"/>
      <c r="O684" s="39">
        <v>53.79</v>
      </c>
      <c r="P684" s="39"/>
      <c r="Q684" s="39"/>
      <c r="R684" s="39"/>
      <c r="S684" s="39"/>
      <c r="T684" s="39"/>
      <c r="U684" s="39"/>
      <c r="V684" s="39"/>
      <c r="W684" s="60"/>
    </row>
    <row r="685" spans="1:23" ht="38.25" x14ac:dyDescent="0.2">
      <c r="A685" s="1" t="s">
        <v>137</v>
      </c>
      <c r="B685" s="2" t="s">
        <v>29</v>
      </c>
      <c r="C685" s="2" t="s">
        <v>138</v>
      </c>
      <c r="D685" s="2" t="s">
        <v>33</v>
      </c>
      <c r="E685" s="2">
        <v>2021</v>
      </c>
      <c r="F685" s="2" t="s">
        <v>311</v>
      </c>
      <c r="G685" s="2" t="s">
        <v>1667</v>
      </c>
      <c r="H685" s="2" t="s">
        <v>1669</v>
      </c>
      <c r="I685" s="1" t="s">
        <v>14</v>
      </c>
      <c r="J685" s="1" t="s">
        <v>2613</v>
      </c>
      <c r="L685" s="53">
        <v>0.27700000000000002</v>
      </c>
      <c r="M685" s="39"/>
      <c r="N685" s="39"/>
      <c r="O685" s="39">
        <v>75.09</v>
      </c>
      <c r="P685" s="39"/>
      <c r="Q685" s="39"/>
      <c r="R685" s="39"/>
      <c r="S685" s="39"/>
      <c r="T685" s="39"/>
      <c r="U685" s="39"/>
      <c r="V685" s="39"/>
      <c r="W685" s="60"/>
    </row>
    <row r="686" spans="1:23" ht="38.25" x14ac:dyDescent="0.2">
      <c r="A686" s="1" t="s">
        <v>137</v>
      </c>
      <c r="B686" s="2" t="s">
        <v>29</v>
      </c>
      <c r="C686" s="2" t="s">
        <v>138</v>
      </c>
      <c r="D686" s="2" t="s">
        <v>33</v>
      </c>
      <c r="E686" s="2">
        <v>2021</v>
      </c>
      <c r="F686" s="2" t="s">
        <v>1794</v>
      </c>
      <c r="G686" s="2" t="s">
        <v>1667</v>
      </c>
      <c r="H686" s="2" t="s">
        <v>1669</v>
      </c>
      <c r="I686" s="1" t="s">
        <v>14</v>
      </c>
      <c r="J686" s="1" t="s">
        <v>2614</v>
      </c>
      <c r="L686" s="53">
        <v>0.32200000000000001</v>
      </c>
      <c r="M686" s="39"/>
      <c r="N686" s="39"/>
      <c r="O686" s="39">
        <v>114.22</v>
      </c>
      <c r="P686" s="39"/>
      <c r="Q686" s="39"/>
      <c r="R686" s="39"/>
      <c r="S686" s="39"/>
      <c r="T686" s="39"/>
      <c r="U686" s="39"/>
      <c r="V686" s="39"/>
      <c r="W686" s="60"/>
    </row>
    <row r="687" spans="1:23" ht="38.25" x14ac:dyDescent="0.2">
      <c r="A687" s="1" t="s">
        <v>137</v>
      </c>
      <c r="B687" s="2" t="s">
        <v>29</v>
      </c>
      <c r="C687" s="2" t="s">
        <v>138</v>
      </c>
      <c r="D687" s="2" t="s">
        <v>33</v>
      </c>
      <c r="E687" s="2">
        <v>2021</v>
      </c>
      <c r="F687" s="2" t="s">
        <v>1796</v>
      </c>
      <c r="G687" s="2" t="s">
        <v>1667</v>
      </c>
      <c r="H687" s="2" t="s">
        <v>1669</v>
      </c>
      <c r="I687" s="1" t="s">
        <v>14</v>
      </c>
      <c r="J687" s="1" t="s">
        <v>2615</v>
      </c>
      <c r="L687" s="53">
        <v>0.28499999999999998</v>
      </c>
      <c r="M687" s="39"/>
      <c r="N687" s="39"/>
      <c r="O687" s="39">
        <v>94.09</v>
      </c>
      <c r="P687" s="39"/>
      <c r="Q687" s="39"/>
      <c r="R687" s="39"/>
      <c r="S687" s="39"/>
      <c r="T687" s="39"/>
      <c r="U687" s="39"/>
      <c r="V687" s="39"/>
      <c r="W687" s="60"/>
    </row>
    <row r="688" spans="1:23" ht="38.25" x14ac:dyDescent="0.2">
      <c r="A688" s="1" t="s">
        <v>137</v>
      </c>
      <c r="B688" s="2" t="s">
        <v>29</v>
      </c>
      <c r="C688" s="2" t="s">
        <v>138</v>
      </c>
      <c r="D688" s="2" t="s">
        <v>33</v>
      </c>
      <c r="E688" s="2">
        <v>2021</v>
      </c>
      <c r="F688" s="2" t="s">
        <v>1798</v>
      </c>
      <c r="G688" s="2" t="s">
        <v>1667</v>
      </c>
      <c r="H688" s="2" t="s">
        <v>1669</v>
      </c>
      <c r="I688" s="1" t="s">
        <v>14</v>
      </c>
      <c r="J688" s="1" t="s">
        <v>2616</v>
      </c>
      <c r="L688" s="53">
        <v>0.21099999999999999</v>
      </c>
      <c r="M688" s="39"/>
      <c r="N688" s="39"/>
      <c r="O688" s="39">
        <v>30.58</v>
      </c>
      <c r="P688" s="39"/>
      <c r="Q688" s="39"/>
      <c r="R688" s="39"/>
      <c r="S688" s="39"/>
      <c r="T688" s="39"/>
      <c r="U688" s="39"/>
      <c r="V688" s="39"/>
      <c r="W688" s="60"/>
    </row>
    <row r="689" spans="1:23" ht="63.75" x14ac:dyDescent="0.2">
      <c r="A689" s="1" t="s">
        <v>2617</v>
      </c>
      <c r="B689" s="2" t="s">
        <v>196</v>
      </c>
      <c r="C689" s="2" t="s">
        <v>2618</v>
      </c>
      <c r="D689" s="2" t="s">
        <v>92</v>
      </c>
      <c r="E689" s="2">
        <v>2021</v>
      </c>
      <c r="F689" s="2" t="s">
        <v>1789</v>
      </c>
      <c r="G689" s="2" t="s">
        <v>1669</v>
      </c>
      <c r="H689" s="2" t="s">
        <v>1669</v>
      </c>
      <c r="I689" s="1" t="s">
        <v>2619</v>
      </c>
      <c r="J689" s="1" t="s">
        <v>2620</v>
      </c>
      <c r="L689" s="53"/>
      <c r="M689" s="39"/>
      <c r="N689" s="39"/>
      <c r="O689" s="39"/>
      <c r="P689" s="39"/>
      <c r="Q689" s="39"/>
      <c r="R689" s="39"/>
      <c r="S689" s="39"/>
      <c r="T689" s="39"/>
      <c r="U689" s="39"/>
      <c r="V689" s="39"/>
      <c r="W689" s="60" t="s">
        <v>1695</v>
      </c>
    </row>
    <row r="690" spans="1:23" ht="25.5" x14ac:dyDescent="0.2">
      <c r="A690" s="1" t="s">
        <v>2617</v>
      </c>
      <c r="B690" s="2" t="s">
        <v>196</v>
      </c>
      <c r="C690" s="2" t="s">
        <v>2618</v>
      </c>
      <c r="D690" s="2" t="s">
        <v>92</v>
      </c>
      <c r="E690" s="2">
        <v>2021</v>
      </c>
      <c r="F690" s="2" t="s">
        <v>1791</v>
      </c>
      <c r="G690" s="2" t="s">
        <v>1669</v>
      </c>
      <c r="H690" s="2" t="s">
        <v>1669</v>
      </c>
      <c r="I690" s="1" t="s">
        <v>2621</v>
      </c>
      <c r="J690" s="1" t="s">
        <v>2622</v>
      </c>
      <c r="L690" s="53"/>
      <c r="M690" s="39"/>
      <c r="N690" s="39"/>
      <c r="O690" s="39"/>
      <c r="P690" s="39"/>
      <c r="Q690" s="39"/>
      <c r="R690" s="39"/>
      <c r="S690" s="39"/>
      <c r="T690" s="39"/>
      <c r="U690" s="39"/>
      <c r="V690" s="39"/>
      <c r="W690" s="60" t="s">
        <v>1695</v>
      </c>
    </row>
    <row r="691" spans="1:23" ht="63.75" customHeight="1" x14ac:dyDescent="0.2">
      <c r="A691" s="1" t="s">
        <v>2623</v>
      </c>
      <c r="B691" s="2" t="s">
        <v>196</v>
      </c>
      <c r="C691" s="2" t="s">
        <v>2624</v>
      </c>
      <c r="D691" s="2" t="s">
        <v>12</v>
      </c>
      <c r="E691" s="2">
        <v>2021</v>
      </c>
      <c r="F691" s="2" t="s">
        <v>1791</v>
      </c>
      <c r="G691" s="2" t="s">
        <v>1669</v>
      </c>
      <c r="H691" s="2" t="s">
        <v>1669</v>
      </c>
      <c r="I691" s="1" t="s">
        <v>2625</v>
      </c>
      <c r="J691" s="1" t="s">
        <v>2626</v>
      </c>
      <c r="L691" s="53" t="s">
        <v>1670</v>
      </c>
      <c r="M691" s="39"/>
      <c r="N691" s="39"/>
      <c r="O691" s="39">
        <v>1515</v>
      </c>
      <c r="P691" s="39"/>
      <c r="Q691" s="39"/>
      <c r="R691" s="39"/>
      <c r="S691" s="39"/>
      <c r="T691" s="39"/>
      <c r="U691" s="39"/>
      <c r="V691" s="39"/>
      <c r="W691" s="60" t="s">
        <v>1699</v>
      </c>
    </row>
    <row r="692" spans="1:23" ht="76.5" x14ac:dyDescent="0.2">
      <c r="A692" s="1" t="s">
        <v>2627</v>
      </c>
      <c r="B692" s="2" t="s">
        <v>196</v>
      </c>
      <c r="C692" s="2" t="s">
        <v>2624</v>
      </c>
      <c r="D692" s="2" t="s">
        <v>12</v>
      </c>
      <c r="E692" s="2">
        <v>2021</v>
      </c>
      <c r="F692" s="2" t="s">
        <v>1791</v>
      </c>
      <c r="G692" s="2" t="s">
        <v>1669</v>
      </c>
      <c r="H692" s="2" t="s">
        <v>1669</v>
      </c>
      <c r="I692" s="1" t="s">
        <v>2628</v>
      </c>
      <c r="J692" s="1" t="s">
        <v>2628</v>
      </c>
      <c r="L692" s="53" t="s">
        <v>1670</v>
      </c>
      <c r="M692" s="39"/>
      <c r="N692" s="39"/>
      <c r="O692" s="39">
        <v>420</v>
      </c>
      <c r="P692" s="39"/>
      <c r="Q692" s="39"/>
      <c r="R692" s="39"/>
      <c r="S692" s="39"/>
      <c r="T692" s="39"/>
      <c r="U692" s="39"/>
      <c r="V692" s="39"/>
      <c r="W692" s="60" t="s">
        <v>1699</v>
      </c>
    </row>
    <row r="693" spans="1:23" ht="76.5" x14ac:dyDescent="0.2">
      <c r="A693" s="1" t="s">
        <v>2629</v>
      </c>
      <c r="B693" s="2" t="s">
        <v>198</v>
      </c>
      <c r="C693" s="2" t="s">
        <v>2630</v>
      </c>
      <c r="D693" s="2" t="s">
        <v>230</v>
      </c>
      <c r="E693" s="2">
        <v>2021</v>
      </c>
      <c r="F693" s="2" t="s">
        <v>1794</v>
      </c>
      <c r="G693" s="2" t="s">
        <v>1669</v>
      </c>
      <c r="H693" s="2" t="s">
        <v>1669</v>
      </c>
      <c r="I693" s="1" t="s">
        <v>2631</v>
      </c>
      <c r="J693" s="1" t="s">
        <v>2632</v>
      </c>
      <c r="L693" s="53">
        <v>0.39</v>
      </c>
      <c r="M693" s="39"/>
      <c r="N693" s="39"/>
      <c r="O693" s="39">
        <f>17.48/L693</f>
        <v>44.820512820512818</v>
      </c>
      <c r="P693" s="39"/>
      <c r="Q693" s="39"/>
      <c r="R693" s="39"/>
      <c r="S693" s="39"/>
      <c r="T693" s="39"/>
      <c r="U693" s="39"/>
      <c r="V693" s="39"/>
      <c r="W693" s="60"/>
    </row>
    <row r="694" spans="1:23" ht="63.75" x14ac:dyDescent="0.2">
      <c r="A694" s="1" t="s">
        <v>2629</v>
      </c>
      <c r="B694" s="2" t="s">
        <v>198</v>
      </c>
      <c r="C694" s="2" t="s">
        <v>2630</v>
      </c>
      <c r="D694" s="2" t="s">
        <v>230</v>
      </c>
      <c r="E694" s="2">
        <v>2021</v>
      </c>
      <c r="F694" s="2" t="s">
        <v>1796</v>
      </c>
      <c r="G694" s="2" t="s">
        <v>1669</v>
      </c>
      <c r="H694" s="2" t="s">
        <v>1668</v>
      </c>
      <c r="I694" s="1" t="s">
        <v>2633</v>
      </c>
      <c r="J694" s="1" t="s">
        <v>14</v>
      </c>
      <c r="L694" s="53"/>
      <c r="M694" s="39"/>
      <c r="N694" s="39"/>
      <c r="O694" s="39"/>
      <c r="P694" s="39"/>
      <c r="Q694" s="39"/>
      <c r="R694" s="39"/>
      <c r="S694" s="39"/>
      <c r="T694" s="39"/>
      <c r="U694" s="39"/>
      <c r="V694" s="39"/>
      <c r="W694" s="60" t="s">
        <v>1693</v>
      </c>
    </row>
    <row r="695" spans="1:23" ht="140.25" x14ac:dyDescent="0.2">
      <c r="A695" s="1" t="s">
        <v>2634</v>
      </c>
      <c r="B695" s="2" t="s">
        <v>196</v>
      </c>
      <c r="C695" s="2" t="s">
        <v>2630</v>
      </c>
      <c r="D695" s="2" t="s">
        <v>230</v>
      </c>
      <c r="E695" s="2">
        <v>2021</v>
      </c>
      <c r="F695" s="2" t="s">
        <v>1787</v>
      </c>
      <c r="G695" s="2" t="s">
        <v>1669</v>
      </c>
      <c r="H695" s="2" t="s">
        <v>1669</v>
      </c>
      <c r="I695" s="1" t="s">
        <v>2635</v>
      </c>
      <c r="J695" s="1" t="s">
        <v>2636</v>
      </c>
      <c r="L695" s="53">
        <v>0.23699999999999999</v>
      </c>
      <c r="M695" s="39"/>
      <c r="N695" s="39"/>
      <c r="O695" s="39">
        <f>(47.99/0.215)+(55.5/0.261)</f>
        <v>435.85298048650094</v>
      </c>
      <c r="P695" s="39"/>
      <c r="Q695" s="39"/>
      <c r="R695" s="39"/>
      <c r="S695" s="39"/>
      <c r="T695" s="39"/>
      <c r="U695" s="39"/>
      <c r="V695" s="39"/>
      <c r="W695" s="60"/>
    </row>
    <row r="696" spans="1:23" ht="25.5" x14ac:dyDescent="0.2">
      <c r="A696" s="1" t="s">
        <v>400</v>
      </c>
      <c r="B696" s="2" t="s">
        <v>32</v>
      </c>
      <c r="C696" s="2" t="s">
        <v>350</v>
      </c>
      <c r="D696" s="2" t="s">
        <v>46</v>
      </c>
      <c r="E696" s="2">
        <v>2021</v>
      </c>
      <c r="F696" s="2" t="s">
        <v>1789</v>
      </c>
      <c r="G696" s="2" t="s">
        <v>1667</v>
      </c>
      <c r="H696" s="2" t="s">
        <v>1669</v>
      </c>
      <c r="I696" s="1" t="s">
        <v>14</v>
      </c>
      <c r="J696" s="1" t="s">
        <v>2637</v>
      </c>
      <c r="L696" s="53">
        <v>0.03</v>
      </c>
      <c r="M696" s="39"/>
      <c r="N696" s="39"/>
      <c r="O696" s="39"/>
      <c r="P696" s="39"/>
      <c r="Q696" s="39"/>
      <c r="R696" s="39"/>
      <c r="S696" s="39"/>
      <c r="T696" s="39"/>
      <c r="U696" s="39"/>
      <c r="V696" s="39">
        <v>11.4</v>
      </c>
      <c r="W696" s="60" t="s">
        <v>1699</v>
      </c>
    </row>
    <row r="697" spans="1:23" ht="51" x14ac:dyDescent="0.2">
      <c r="A697" s="1" t="s">
        <v>1460</v>
      </c>
      <c r="B697" s="2" t="s">
        <v>264</v>
      </c>
      <c r="C697" s="2" t="s">
        <v>1461</v>
      </c>
      <c r="D697" s="2" t="s">
        <v>333</v>
      </c>
      <c r="E697" s="2">
        <v>2021</v>
      </c>
      <c r="F697" s="2" t="s">
        <v>311</v>
      </c>
      <c r="G697" s="2" t="s">
        <v>1669</v>
      </c>
      <c r="H697" s="2" t="s">
        <v>1669</v>
      </c>
      <c r="I697" s="1" t="s">
        <v>2638</v>
      </c>
      <c r="J697" s="1" t="s">
        <v>1670</v>
      </c>
      <c r="L697" s="53"/>
      <c r="M697" s="39"/>
      <c r="N697" s="39"/>
      <c r="O697" s="39"/>
      <c r="P697" s="39"/>
      <c r="Q697" s="39"/>
      <c r="R697" s="39"/>
      <c r="S697" s="39"/>
      <c r="T697" s="39"/>
      <c r="U697" s="39"/>
      <c r="V697" s="39">
        <f>4158*0.001</f>
        <v>4.1580000000000004</v>
      </c>
      <c r="W697" s="60" t="s">
        <v>1699</v>
      </c>
    </row>
    <row r="698" spans="1:23" ht="51" x14ac:dyDescent="0.2">
      <c r="A698" s="1" t="s">
        <v>2639</v>
      </c>
      <c r="B698" s="2" t="s">
        <v>222</v>
      </c>
      <c r="C698" s="2" t="s">
        <v>374</v>
      </c>
      <c r="D698" s="2" t="s">
        <v>2640</v>
      </c>
      <c r="E698" s="2">
        <v>2021</v>
      </c>
      <c r="F698" s="2" t="s">
        <v>1789</v>
      </c>
      <c r="G698" s="2" t="s">
        <v>1669</v>
      </c>
      <c r="H698" s="2" t="s">
        <v>1669</v>
      </c>
      <c r="I698" s="1" t="s">
        <v>2641</v>
      </c>
      <c r="J698" s="1" t="s">
        <v>2642</v>
      </c>
      <c r="L698" s="53" t="s">
        <v>1670</v>
      </c>
      <c r="M698" s="39"/>
      <c r="N698" s="39"/>
      <c r="O698" s="39"/>
      <c r="P698" s="39"/>
      <c r="Q698" s="39"/>
      <c r="R698" s="39"/>
      <c r="S698" s="39"/>
      <c r="T698" s="39"/>
      <c r="U698" s="39"/>
      <c r="V698" s="39">
        <v>168.81</v>
      </c>
      <c r="W698" s="60"/>
    </row>
    <row r="699" spans="1:23" ht="216.75" x14ac:dyDescent="0.2">
      <c r="A699" s="1" t="s">
        <v>796</v>
      </c>
      <c r="B699" s="2" t="s">
        <v>343</v>
      </c>
      <c r="C699" s="2" t="s">
        <v>374</v>
      </c>
      <c r="D699" s="2" t="s">
        <v>187</v>
      </c>
      <c r="E699" s="2">
        <v>2021</v>
      </c>
      <c r="F699" s="2" t="s">
        <v>1785</v>
      </c>
      <c r="G699" s="2" t="s">
        <v>1669</v>
      </c>
      <c r="H699" s="2" t="s">
        <v>1669</v>
      </c>
      <c r="I699" s="1" t="s">
        <v>2643</v>
      </c>
      <c r="J699" s="1" t="s">
        <v>2644</v>
      </c>
      <c r="L699" s="53"/>
      <c r="M699" s="39"/>
      <c r="N699" s="39"/>
      <c r="O699" s="39"/>
      <c r="P699" s="39"/>
      <c r="Q699" s="39"/>
      <c r="R699" s="39"/>
      <c r="S699" s="39"/>
      <c r="T699" s="39"/>
      <c r="U699" s="39"/>
      <c r="V699" s="39"/>
      <c r="W699" s="60" t="s">
        <v>1738</v>
      </c>
    </row>
    <row r="700" spans="1:23" ht="38.25" x14ac:dyDescent="0.2">
      <c r="A700" s="1" t="s">
        <v>62</v>
      </c>
      <c r="B700" s="2" t="s">
        <v>38</v>
      </c>
      <c r="C700" s="2" t="s">
        <v>63</v>
      </c>
      <c r="D700" s="2" t="s">
        <v>64</v>
      </c>
      <c r="E700" s="2">
        <v>2021</v>
      </c>
      <c r="F700" s="2" t="s">
        <v>1776</v>
      </c>
      <c r="G700" s="2" t="s">
        <v>1667</v>
      </c>
      <c r="H700" s="2" t="s">
        <v>1669</v>
      </c>
      <c r="I700" s="1" t="s">
        <v>14</v>
      </c>
      <c r="J700" s="1" t="s">
        <v>2645</v>
      </c>
      <c r="L700" s="53">
        <v>0.22</v>
      </c>
      <c r="M700" s="39"/>
      <c r="N700" s="39"/>
      <c r="O700" s="39">
        <v>54.6</v>
      </c>
      <c r="P700" s="39"/>
      <c r="Q700" s="39"/>
      <c r="R700" s="39"/>
      <c r="S700" s="39"/>
      <c r="T700" s="39"/>
      <c r="U700" s="39"/>
      <c r="V700" s="39"/>
      <c r="W700" s="60"/>
    </row>
    <row r="701" spans="1:23" ht="25.5" x14ac:dyDescent="0.2">
      <c r="A701" s="1" t="s">
        <v>62</v>
      </c>
      <c r="B701" s="2" t="s">
        <v>38</v>
      </c>
      <c r="C701" s="2" t="s">
        <v>63</v>
      </c>
      <c r="D701" s="2" t="s">
        <v>64</v>
      </c>
      <c r="E701" s="2">
        <v>2021</v>
      </c>
      <c r="F701" s="2" t="s">
        <v>1779</v>
      </c>
      <c r="G701" s="2" t="s">
        <v>1667</v>
      </c>
      <c r="H701" s="2" t="s">
        <v>1669</v>
      </c>
      <c r="I701" s="1" t="s">
        <v>14</v>
      </c>
      <c r="J701" s="1" t="s">
        <v>2646</v>
      </c>
      <c r="L701" s="53">
        <v>0.22</v>
      </c>
      <c r="M701" s="39"/>
      <c r="N701" s="39"/>
      <c r="O701" s="39">
        <v>55</v>
      </c>
      <c r="P701" s="39"/>
      <c r="Q701" s="39"/>
      <c r="R701" s="39"/>
      <c r="S701" s="39"/>
      <c r="T701" s="39"/>
      <c r="U701" s="39"/>
      <c r="V701" s="39"/>
      <c r="W701" s="60"/>
    </row>
    <row r="702" spans="1:23" ht="38.25" x14ac:dyDescent="0.2">
      <c r="A702" s="1" t="s">
        <v>62</v>
      </c>
      <c r="B702" s="2" t="s">
        <v>38</v>
      </c>
      <c r="C702" s="2" t="s">
        <v>63</v>
      </c>
      <c r="D702" s="2" t="s">
        <v>64</v>
      </c>
      <c r="E702" s="2">
        <v>2021</v>
      </c>
      <c r="F702" s="2" t="s">
        <v>1781</v>
      </c>
      <c r="G702" s="2" t="s">
        <v>1667</v>
      </c>
      <c r="H702" s="2" t="s">
        <v>1669</v>
      </c>
      <c r="I702" s="1" t="s">
        <v>14</v>
      </c>
      <c r="J702" s="1" t="s">
        <v>2647</v>
      </c>
      <c r="L702" s="53">
        <v>0.23</v>
      </c>
      <c r="M702" s="39"/>
      <c r="N702" s="39"/>
      <c r="O702" s="39">
        <v>67.900000000000006</v>
      </c>
      <c r="P702" s="39"/>
      <c r="Q702" s="39"/>
      <c r="R702" s="39"/>
      <c r="S702" s="39"/>
      <c r="T702" s="39"/>
      <c r="U702" s="39"/>
      <c r="V702" s="39"/>
      <c r="W702" s="60"/>
    </row>
    <row r="703" spans="1:23" ht="25.5" x14ac:dyDescent="0.2">
      <c r="A703" s="1" t="s">
        <v>62</v>
      </c>
      <c r="B703" s="2" t="s">
        <v>38</v>
      </c>
      <c r="C703" s="2" t="s">
        <v>63</v>
      </c>
      <c r="D703" s="2" t="s">
        <v>64</v>
      </c>
      <c r="E703" s="2">
        <v>2021</v>
      </c>
      <c r="F703" s="2" t="s">
        <v>1783</v>
      </c>
      <c r="G703" s="2" t="s">
        <v>1667</v>
      </c>
      <c r="H703" s="2" t="s">
        <v>1669</v>
      </c>
      <c r="I703" s="1" t="s">
        <v>14</v>
      </c>
      <c r="J703" s="1" t="s">
        <v>2648</v>
      </c>
      <c r="L703" s="53">
        <v>0.22</v>
      </c>
      <c r="M703" s="39"/>
      <c r="N703" s="39"/>
      <c r="O703" s="39">
        <v>51.2</v>
      </c>
      <c r="P703" s="39"/>
      <c r="Q703" s="39"/>
      <c r="R703" s="39"/>
      <c r="S703" s="39"/>
      <c r="T703" s="39"/>
      <c r="U703" s="39"/>
      <c r="V703" s="39"/>
      <c r="W703" s="60"/>
    </row>
    <row r="704" spans="1:23" ht="38.25" x14ac:dyDescent="0.2">
      <c r="A704" s="1" t="s">
        <v>62</v>
      </c>
      <c r="B704" s="2" t="s">
        <v>38</v>
      </c>
      <c r="C704" s="2" t="s">
        <v>63</v>
      </c>
      <c r="D704" s="2" t="s">
        <v>64</v>
      </c>
      <c r="E704" s="2">
        <v>2021</v>
      </c>
      <c r="F704" s="2" t="s">
        <v>1785</v>
      </c>
      <c r="G704" s="2" t="s">
        <v>1667</v>
      </c>
      <c r="H704" s="2" t="s">
        <v>1669</v>
      </c>
      <c r="I704" s="1" t="s">
        <v>14</v>
      </c>
      <c r="J704" s="1" t="s">
        <v>2649</v>
      </c>
      <c r="L704" s="53">
        <v>0.22</v>
      </c>
      <c r="M704" s="39"/>
      <c r="N704" s="39"/>
      <c r="O704" s="39">
        <v>43.4</v>
      </c>
      <c r="P704" s="39"/>
      <c r="Q704" s="39"/>
      <c r="R704" s="39"/>
      <c r="S704" s="39"/>
      <c r="T704" s="39"/>
      <c r="U704" s="39"/>
      <c r="V704" s="39"/>
      <c r="W704" s="60"/>
    </row>
    <row r="705" spans="1:23" ht="25.5" x14ac:dyDescent="0.2">
      <c r="A705" s="1" t="s">
        <v>62</v>
      </c>
      <c r="B705" s="2" t="s">
        <v>38</v>
      </c>
      <c r="C705" s="2" t="s">
        <v>63</v>
      </c>
      <c r="D705" s="2" t="s">
        <v>64</v>
      </c>
      <c r="E705" s="2">
        <v>2021</v>
      </c>
      <c r="F705" s="2" t="s">
        <v>1787</v>
      </c>
      <c r="G705" s="2" t="s">
        <v>1667</v>
      </c>
      <c r="H705" s="2" t="s">
        <v>1669</v>
      </c>
      <c r="I705" s="1" t="s">
        <v>14</v>
      </c>
      <c r="J705" s="1" t="s">
        <v>2650</v>
      </c>
      <c r="L705" s="53">
        <v>0.23</v>
      </c>
      <c r="M705" s="39"/>
      <c r="N705" s="39"/>
      <c r="O705" s="39">
        <v>56.84</v>
      </c>
      <c r="P705" s="39"/>
      <c r="Q705" s="39"/>
      <c r="R705" s="39"/>
      <c r="S705" s="39"/>
      <c r="T705" s="39"/>
      <c r="U705" s="39"/>
      <c r="V705" s="39"/>
      <c r="W705" s="60"/>
    </row>
    <row r="706" spans="1:23" ht="38.25" x14ac:dyDescent="0.2">
      <c r="A706" s="1" t="s">
        <v>62</v>
      </c>
      <c r="B706" s="2" t="s">
        <v>38</v>
      </c>
      <c r="C706" s="2" t="s">
        <v>63</v>
      </c>
      <c r="D706" s="2" t="s">
        <v>64</v>
      </c>
      <c r="E706" s="2">
        <v>2021</v>
      </c>
      <c r="F706" s="2" t="s">
        <v>1789</v>
      </c>
      <c r="G706" s="2" t="s">
        <v>1667</v>
      </c>
      <c r="H706" s="2" t="s">
        <v>1669</v>
      </c>
      <c r="I706" s="1" t="s">
        <v>14</v>
      </c>
      <c r="J706" s="1" t="s">
        <v>2651</v>
      </c>
      <c r="L706" s="53">
        <v>0.22</v>
      </c>
      <c r="M706" s="39"/>
      <c r="N706" s="39"/>
      <c r="O706" s="39">
        <v>61.63</v>
      </c>
      <c r="P706" s="39"/>
      <c r="Q706" s="39"/>
      <c r="R706" s="39"/>
      <c r="S706" s="39"/>
      <c r="T706" s="39"/>
      <c r="U706" s="39"/>
      <c r="V706" s="39"/>
      <c r="W706" s="60"/>
    </row>
    <row r="707" spans="1:23" ht="51" x14ac:dyDescent="0.2">
      <c r="A707" s="1" t="s">
        <v>62</v>
      </c>
      <c r="B707" s="2" t="s">
        <v>38</v>
      </c>
      <c r="C707" s="2" t="s">
        <v>63</v>
      </c>
      <c r="D707" s="2" t="s">
        <v>64</v>
      </c>
      <c r="E707" s="2">
        <v>2021</v>
      </c>
      <c r="F707" s="2" t="s">
        <v>1791</v>
      </c>
      <c r="G707" s="2" t="s">
        <v>1667</v>
      </c>
      <c r="H707" s="2" t="s">
        <v>1669</v>
      </c>
      <c r="I707" s="1" t="s">
        <v>14</v>
      </c>
      <c r="J707" s="1" t="s">
        <v>2652</v>
      </c>
      <c r="L707" s="53">
        <v>0.21</v>
      </c>
      <c r="M707" s="39"/>
      <c r="N707" s="39"/>
      <c r="O707" s="39">
        <v>51.57</v>
      </c>
      <c r="P707" s="39"/>
      <c r="Q707" s="39"/>
      <c r="R707" s="39"/>
      <c r="S707" s="39"/>
      <c r="T707" s="39"/>
      <c r="U707" s="39"/>
      <c r="V707" s="39"/>
      <c r="W707" s="60"/>
    </row>
    <row r="708" spans="1:23" ht="25.5" x14ac:dyDescent="0.2">
      <c r="A708" s="1" t="s">
        <v>62</v>
      </c>
      <c r="B708" s="2" t="s">
        <v>38</v>
      </c>
      <c r="C708" s="2" t="s">
        <v>63</v>
      </c>
      <c r="D708" s="2" t="s">
        <v>64</v>
      </c>
      <c r="E708" s="2">
        <v>2021</v>
      </c>
      <c r="F708" s="2" t="s">
        <v>1794</v>
      </c>
      <c r="G708" s="2" t="s">
        <v>1667</v>
      </c>
      <c r="H708" s="2" t="s">
        <v>1669</v>
      </c>
      <c r="I708" s="1" t="s">
        <v>14</v>
      </c>
      <c r="J708" s="1" t="s">
        <v>2653</v>
      </c>
      <c r="L708" s="53">
        <v>0.17</v>
      </c>
      <c r="M708" s="39"/>
      <c r="N708" s="39"/>
      <c r="O708" s="39">
        <f>41.86+9.61</f>
        <v>51.47</v>
      </c>
      <c r="P708" s="39"/>
      <c r="Q708" s="39"/>
      <c r="R708" s="39"/>
      <c r="S708" s="39"/>
      <c r="T708" s="39"/>
      <c r="U708" s="39"/>
      <c r="V708" s="39"/>
      <c r="W708" s="60"/>
    </row>
    <row r="709" spans="1:23" ht="38.25" x14ac:dyDescent="0.2">
      <c r="A709" s="1" t="s">
        <v>62</v>
      </c>
      <c r="B709" s="2" t="s">
        <v>38</v>
      </c>
      <c r="C709" s="2" t="s">
        <v>63</v>
      </c>
      <c r="D709" s="2" t="s">
        <v>64</v>
      </c>
      <c r="E709" s="2">
        <v>2021</v>
      </c>
      <c r="F709" s="2" t="s">
        <v>1796</v>
      </c>
      <c r="G709" s="2" t="s">
        <v>1667</v>
      </c>
      <c r="H709" s="2" t="s">
        <v>1669</v>
      </c>
      <c r="I709" s="1" t="s">
        <v>14</v>
      </c>
      <c r="J709" s="1" t="s">
        <v>2654</v>
      </c>
      <c r="L709" s="53">
        <v>0.16</v>
      </c>
      <c r="M709" s="39"/>
      <c r="N709" s="39"/>
      <c r="O709" s="39">
        <v>110.19</v>
      </c>
      <c r="P709" s="39"/>
      <c r="Q709" s="39"/>
      <c r="R709" s="39"/>
      <c r="S709" s="39"/>
      <c r="T709" s="39"/>
      <c r="U709" s="39"/>
      <c r="V709" s="39"/>
      <c r="W709" s="60"/>
    </row>
    <row r="710" spans="1:23" ht="38.25" x14ac:dyDescent="0.2">
      <c r="A710" s="1" t="s">
        <v>62</v>
      </c>
      <c r="B710" s="2" t="s">
        <v>38</v>
      </c>
      <c r="C710" s="2" t="s">
        <v>63</v>
      </c>
      <c r="D710" s="2" t="s">
        <v>64</v>
      </c>
      <c r="E710" s="2">
        <v>2021</v>
      </c>
      <c r="F710" s="2" t="s">
        <v>1798</v>
      </c>
      <c r="G710" s="2" t="s">
        <v>1667</v>
      </c>
      <c r="H710" s="2" t="s">
        <v>1669</v>
      </c>
      <c r="I710" s="1" t="s">
        <v>14</v>
      </c>
      <c r="J710" s="1" t="s">
        <v>2655</v>
      </c>
      <c r="L710" s="53">
        <v>0.21</v>
      </c>
      <c r="M710" s="39"/>
      <c r="N710" s="39"/>
      <c r="O710" s="39">
        <v>70.150000000000006</v>
      </c>
      <c r="P710" s="39"/>
      <c r="Q710" s="39"/>
      <c r="R710" s="39"/>
      <c r="S710" s="39"/>
      <c r="T710" s="39"/>
      <c r="U710" s="39"/>
      <c r="V710" s="39"/>
      <c r="W710" s="60"/>
    </row>
    <row r="711" spans="1:23" ht="38.25" x14ac:dyDescent="0.2">
      <c r="A711" s="1" t="s">
        <v>106</v>
      </c>
      <c r="B711" s="2" t="s">
        <v>38</v>
      </c>
      <c r="C711" s="2" t="s">
        <v>107</v>
      </c>
      <c r="D711" s="2" t="s">
        <v>108</v>
      </c>
      <c r="E711" s="2">
        <v>2021</v>
      </c>
      <c r="F711" s="2" t="s">
        <v>1776</v>
      </c>
      <c r="G711" s="2" t="s">
        <v>1667</v>
      </c>
      <c r="H711" s="2" t="s">
        <v>1669</v>
      </c>
      <c r="I711" s="1" t="s">
        <v>14</v>
      </c>
      <c r="J711" s="1" t="s">
        <v>2656</v>
      </c>
      <c r="L711" s="53">
        <v>0.246</v>
      </c>
      <c r="M711" s="39"/>
      <c r="N711" s="39"/>
      <c r="O711" s="39">
        <v>88.27</v>
      </c>
      <c r="P711" s="39"/>
      <c r="Q711" s="39"/>
      <c r="R711" s="39"/>
      <c r="S711" s="39"/>
      <c r="T711" s="39"/>
      <c r="U711" s="39"/>
      <c r="V711" s="39"/>
      <c r="W711" s="60"/>
    </row>
    <row r="712" spans="1:23" ht="38.25" x14ac:dyDescent="0.2">
      <c r="A712" s="1" t="s">
        <v>106</v>
      </c>
      <c r="B712" s="2" t="s">
        <v>38</v>
      </c>
      <c r="C712" s="2" t="s">
        <v>107</v>
      </c>
      <c r="D712" s="2" t="s">
        <v>108</v>
      </c>
      <c r="E712" s="2">
        <v>2021</v>
      </c>
      <c r="F712" s="2" t="s">
        <v>1779</v>
      </c>
      <c r="G712" s="2" t="s">
        <v>1667</v>
      </c>
      <c r="H712" s="2" t="s">
        <v>1669</v>
      </c>
      <c r="I712" s="1" t="s">
        <v>14</v>
      </c>
      <c r="J712" s="1" t="s">
        <v>2657</v>
      </c>
      <c r="L712" s="53">
        <v>0.248</v>
      </c>
      <c r="M712" s="39"/>
      <c r="N712" s="39"/>
      <c r="O712" s="39">
        <v>54.95</v>
      </c>
      <c r="P712" s="39"/>
      <c r="Q712" s="39"/>
      <c r="R712" s="39"/>
      <c r="S712" s="39"/>
      <c r="T712" s="39"/>
      <c r="U712" s="39"/>
      <c r="V712" s="39"/>
      <c r="W712" s="60"/>
    </row>
    <row r="713" spans="1:23" ht="51" x14ac:dyDescent="0.2">
      <c r="A713" s="1" t="s">
        <v>106</v>
      </c>
      <c r="B713" s="2" t="s">
        <v>38</v>
      </c>
      <c r="C713" s="2" t="s">
        <v>107</v>
      </c>
      <c r="D713" s="2" t="s">
        <v>108</v>
      </c>
      <c r="E713" s="2">
        <v>2021</v>
      </c>
      <c r="F713" s="2" t="s">
        <v>1781</v>
      </c>
      <c r="G713" s="2" t="s">
        <v>1667</v>
      </c>
      <c r="H713" s="2" t="s">
        <v>1669</v>
      </c>
      <c r="I713" s="1" t="s">
        <v>14</v>
      </c>
      <c r="J713" s="1" t="s">
        <v>2658</v>
      </c>
      <c r="L713" s="53">
        <v>0.23499999999999999</v>
      </c>
      <c r="M713" s="39"/>
      <c r="N713" s="39"/>
      <c r="O713" s="39">
        <v>104.01</v>
      </c>
      <c r="P713" s="39"/>
      <c r="Q713" s="39"/>
      <c r="R713" s="39"/>
      <c r="S713" s="39"/>
      <c r="T713" s="39"/>
      <c r="U713" s="39"/>
      <c r="V713" s="39"/>
      <c r="W713" s="60"/>
    </row>
    <row r="714" spans="1:23" ht="51" x14ac:dyDescent="0.2">
      <c r="A714" s="1" t="s">
        <v>106</v>
      </c>
      <c r="B714" s="2" t="s">
        <v>38</v>
      </c>
      <c r="C714" s="2" t="s">
        <v>107</v>
      </c>
      <c r="D714" s="2" t="s">
        <v>108</v>
      </c>
      <c r="E714" s="2">
        <v>2021</v>
      </c>
      <c r="F714" s="2" t="s">
        <v>1783</v>
      </c>
      <c r="G714" s="2" t="s">
        <v>1667</v>
      </c>
      <c r="H714" s="2" t="s">
        <v>1669</v>
      </c>
      <c r="I714" s="1" t="s">
        <v>14</v>
      </c>
      <c r="J714" s="1" t="s">
        <v>2659</v>
      </c>
      <c r="L714" s="53">
        <v>0.247</v>
      </c>
      <c r="M714" s="39"/>
      <c r="N714" s="39"/>
      <c r="O714" s="39">
        <v>92.55</v>
      </c>
      <c r="P714" s="39"/>
      <c r="Q714" s="39"/>
      <c r="R714" s="39"/>
      <c r="S714" s="39"/>
      <c r="T714" s="39"/>
      <c r="U714" s="39"/>
      <c r="V714" s="39"/>
      <c r="W714" s="60"/>
    </row>
    <row r="715" spans="1:23" ht="51" x14ac:dyDescent="0.2">
      <c r="A715" s="1" t="s">
        <v>106</v>
      </c>
      <c r="B715" s="2" t="s">
        <v>38</v>
      </c>
      <c r="C715" s="2" t="s">
        <v>107</v>
      </c>
      <c r="D715" s="2" t="s">
        <v>108</v>
      </c>
      <c r="E715" s="2">
        <v>2021</v>
      </c>
      <c r="F715" s="2" t="s">
        <v>1785</v>
      </c>
      <c r="G715" s="2" t="s">
        <v>1667</v>
      </c>
      <c r="H715" s="2" t="s">
        <v>1669</v>
      </c>
      <c r="I715" s="1" t="s">
        <v>14</v>
      </c>
      <c r="J715" s="1" t="s">
        <v>2660</v>
      </c>
      <c r="L715" s="53">
        <v>0.23100000000000001</v>
      </c>
      <c r="M715" s="39"/>
      <c r="N715" s="39"/>
      <c r="O715" s="39">
        <v>75.63</v>
      </c>
      <c r="P715" s="39"/>
      <c r="Q715" s="39"/>
      <c r="R715" s="39"/>
      <c r="S715" s="39"/>
      <c r="T715" s="39"/>
      <c r="U715" s="39"/>
      <c r="V715" s="39"/>
      <c r="W715" s="60"/>
    </row>
    <row r="716" spans="1:23" ht="38.25" x14ac:dyDescent="0.2">
      <c r="A716" s="1" t="s">
        <v>106</v>
      </c>
      <c r="B716" s="2" t="s">
        <v>38</v>
      </c>
      <c r="C716" s="2" t="s">
        <v>107</v>
      </c>
      <c r="D716" s="2" t="s">
        <v>108</v>
      </c>
      <c r="E716" s="2">
        <v>2021</v>
      </c>
      <c r="F716" s="2" t="s">
        <v>1787</v>
      </c>
      <c r="G716" s="2" t="s">
        <v>1667</v>
      </c>
      <c r="H716" s="2" t="s">
        <v>1669</v>
      </c>
      <c r="I716" s="1" t="s">
        <v>14</v>
      </c>
      <c r="J716" s="1" t="s">
        <v>2661</v>
      </c>
      <c r="L716" s="53">
        <v>0.222</v>
      </c>
      <c r="M716" s="39"/>
      <c r="N716" s="39"/>
      <c r="O716" s="39">
        <v>102.97</v>
      </c>
      <c r="P716" s="39"/>
      <c r="Q716" s="39"/>
      <c r="R716" s="39"/>
      <c r="S716" s="39"/>
      <c r="T716" s="39"/>
      <c r="U716" s="39"/>
      <c r="V716" s="39"/>
      <c r="W716" s="60"/>
    </row>
    <row r="717" spans="1:23" ht="51" x14ac:dyDescent="0.2">
      <c r="A717" s="1" t="s">
        <v>106</v>
      </c>
      <c r="B717" s="2" t="s">
        <v>38</v>
      </c>
      <c r="C717" s="2" t="s">
        <v>107</v>
      </c>
      <c r="D717" s="2" t="s">
        <v>108</v>
      </c>
      <c r="E717" s="2">
        <v>2021</v>
      </c>
      <c r="F717" s="2" t="s">
        <v>1789</v>
      </c>
      <c r="G717" s="2" t="s">
        <v>1667</v>
      </c>
      <c r="H717" s="2" t="s">
        <v>1669</v>
      </c>
      <c r="I717" s="1" t="s">
        <v>14</v>
      </c>
      <c r="J717" s="1" t="s">
        <v>2662</v>
      </c>
      <c r="L717" s="53">
        <v>0.23</v>
      </c>
      <c r="M717" s="39"/>
      <c r="N717" s="39"/>
      <c r="O717" s="39">
        <v>105.07</v>
      </c>
      <c r="P717" s="39"/>
      <c r="Q717" s="39"/>
      <c r="R717" s="39"/>
      <c r="S717" s="39"/>
      <c r="T717" s="39"/>
      <c r="U717" s="39"/>
      <c r="V717" s="39"/>
      <c r="W717" s="60"/>
    </row>
    <row r="718" spans="1:23" ht="76.5" x14ac:dyDescent="0.2">
      <c r="A718" s="1" t="s">
        <v>106</v>
      </c>
      <c r="B718" s="2" t="s">
        <v>38</v>
      </c>
      <c r="C718" s="2" t="s">
        <v>107</v>
      </c>
      <c r="D718" s="2" t="s">
        <v>108</v>
      </c>
      <c r="E718" s="2">
        <v>2021</v>
      </c>
      <c r="F718" s="2" t="s">
        <v>1791</v>
      </c>
      <c r="G718" s="2" t="s">
        <v>1667</v>
      </c>
      <c r="H718" s="2" t="s">
        <v>1669</v>
      </c>
      <c r="I718" s="1" t="s">
        <v>14</v>
      </c>
      <c r="J718" s="1" t="s">
        <v>2663</v>
      </c>
      <c r="L718" s="53">
        <v>0.23</v>
      </c>
      <c r="M718" s="39"/>
      <c r="N718" s="39"/>
      <c r="O718" s="39">
        <v>107.15</v>
      </c>
      <c r="P718" s="39"/>
      <c r="Q718" s="39"/>
      <c r="R718" s="39"/>
      <c r="S718" s="39"/>
      <c r="T718" s="39"/>
      <c r="U718" s="39"/>
      <c r="V718" s="39"/>
      <c r="W718" s="60"/>
    </row>
    <row r="719" spans="1:23" ht="51" x14ac:dyDescent="0.2">
      <c r="A719" s="1" t="s">
        <v>106</v>
      </c>
      <c r="B719" s="2" t="s">
        <v>38</v>
      </c>
      <c r="C719" s="2" t="s">
        <v>107</v>
      </c>
      <c r="D719" s="2" t="s">
        <v>108</v>
      </c>
      <c r="E719" s="2">
        <v>2021</v>
      </c>
      <c r="F719" s="2" t="s">
        <v>1794</v>
      </c>
      <c r="G719" s="2" t="s">
        <v>1667</v>
      </c>
      <c r="H719" s="2" t="s">
        <v>1669</v>
      </c>
      <c r="I719" s="1" t="s">
        <v>14</v>
      </c>
      <c r="J719" s="1" t="s">
        <v>2664</v>
      </c>
      <c r="L719" s="53">
        <v>0.24299999999999999</v>
      </c>
      <c r="M719" s="39"/>
      <c r="N719" s="39"/>
      <c r="O719" s="39">
        <v>95.62</v>
      </c>
      <c r="P719" s="39"/>
      <c r="Q719" s="39"/>
      <c r="R719" s="39"/>
      <c r="S719" s="39"/>
      <c r="T719" s="39"/>
      <c r="U719" s="39"/>
      <c r="V719" s="39"/>
      <c r="W719" s="60"/>
    </row>
    <row r="720" spans="1:23" ht="51" x14ac:dyDescent="0.2">
      <c r="A720" s="1" t="s">
        <v>106</v>
      </c>
      <c r="B720" s="2" t="s">
        <v>38</v>
      </c>
      <c r="C720" s="2" t="s">
        <v>107</v>
      </c>
      <c r="D720" s="2" t="s">
        <v>108</v>
      </c>
      <c r="E720" s="2">
        <v>2021</v>
      </c>
      <c r="F720" s="2" t="s">
        <v>1796</v>
      </c>
      <c r="G720" s="2" t="s">
        <v>1667</v>
      </c>
      <c r="H720" s="2" t="s">
        <v>1669</v>
      </c>
      <c r="I720" s="1" t="s">
        <v>14</v>
      </c>
      <c r="J720" s="1" t="s">
        <v>2665</v>
      </c>
      <c r="L720" s="53">
        <v>0.23899999999999999</v>
      </c>
      <c r="M720" s="39"/>
      <c r="N720" s="39"/>
      <c r="O720" s="39">
        <v>91.23</v>
      </c>
      <c r="P720" s="39"/>
      <c r="Q720" s="39"/>
      <c r="R720" s="39"/>
      <c r="S720" s="39"/>
      <c r="T720" s="39"/>
      <c r="U720" s="39"/>
      <c r="V720" s="39"/>
      <c r="W720" s="60"/>
    </row>
    <row r="721" spans="1:23" ht="51" x14ac:dyDescent="0.2">
      <c r="A721" s="1" t="s">
        <v>106</v>
      </c>
      <c r="B721" s="2" t="s">
        <v>38</v>
      </c>
      <c r="C721" s="2" t="s">
        <v>107</v>
      </c>
      <c r="D721" s="2" t="s">
        <v>108</v>
      </c>
      <c r="E721" s="2">
        <v>2021</v>
      </c>
      <c r="F721" s="2" t="s">
        <v>1798</v>
      </c>
      <c r="G721" s="2" t="s">
        <v>1667</v>
      </c>
      <c r="H721" s="2" t="s">
        <v>1669</v>
      </c>
      <c r="I721" s="1" t="s">
        <v>14</v>
      </c>
      <c r="J721" s="1" t="s">
        <v>2666</v>
      </c>
      <c r="L721" s="53">
        <v>0.23100000000000001</v>
      </c>
      <c r="M721" s="39"/>
      <c r="N721" s="39"/>
      <c r="O721" s="39">
        <v>65.260000000000005</v>
      </c>
      <c r="P721" s="39"/>
      <c r="Q721" s="39"/>
      <c r="R721" s="39"/>
      <c r="S721" s="39"/>
      <c r="T721" s="39"/>
      <c r="U721" s="39"/>
      <c r="V721" s="39"/>
      <c r="W721" s="60"/>
    </row>
    <row r="722" spans="1:23" ht="191.25" x14ac:dyDescent="0.2">
      <c r="A722" s="1" t="s">
        <v>2667</v>
      </c>
      <c r="B722" s="2" t="s">
        <v>196</v>
      </c>
      <c r="C722" s="2" t="s">
        <v>2668</v>
      </c>
      <c r="D722" s="2" t="s">
        <v>268</v>
      </c>
      <c r="E722" s="2">
        <v>2021</v>
      </c>
      <c r="F722" s="2" t="s">
        <v>1787</v>
      </c>
      <c r="G722" s="2" t="s">
        <v>1669</v>
      </c>
      <c r="H722" s="2" t="s">
        <v>1668</v>
      </c>
      <c r="I722" s="1" t="s">
        <v>2669</v>
      </c>
      <c r="J722" s="1" t="s">
        <v>14</v>
      </c>
      <c r="L722" s="53"/>
      <c r="M722" s="39"/>
      <c r="N722" s="39"/>
      <c r="O722" s="39"/>
      <c r="P722" s="39"/>
      <c r="Q722" s="39"/>
      <c r="R722" s="39"/>
      <c r="S722" s="39"/>
      <c r="T722" s="39"/>
      <c r="U722" s="39"/>
      <c r="V722" s="39"/>
      <c r="W722" s="60" t="s">
        <v>1693</v>
      </c>
    </row>
    <row r="723" spans="1:23" ht="63.75" x14ac:dyDescent="0.2">
      <c r="A723" s="1" t="s">
        <v>292</v>
      </c>
      <c r="B723" s="2" t="s">
        <v>262</v>
      </c>
      <c r="C723" s="2" t="s">
        <v>293</v>
      </c>
      <c r="D723" s="2" t="s">
        <v>173</v>
      </c>
      <c r="E723" s="2">
        <v>2021</v>
      </c>
      <c r="F723" s="2" t="s">
        <v>1787</v>
      </c>
      <c r="G723" s="2" t="s">
        <v>1669</v>
      </c>
      <c r="H723" s="2" t="s">
        <v>1669</v>
      </c>
      <c r="I723" s="1" t="s">
        <v>2670</v>
      </c>
      <c r="J723" s="1" t="s">
        <v>2671</v>
      </c>
      <c r="L723" s="53" t="s">
        <v>1670</v>
      </c>
      <c r="M723" s="39">
        <v>64.215999999999994</v>
      </c>
      <c r="N723" s="39"/>
      <c r="O723" s="39"/>
      <c r="P723" s="39"/>
      <c r="Q723" s="39"/>
      <c r="R723" s="39"/>
      <c r="S723" s="39"/>
      <c r="T723" s="39"/>
      <c r="U723" s="39"/>
      <c r="V723" s="39"/>
      <c r="W723" s="60" t="s">
        <v>1699</v>
      </c>
    </row>
    <row r="724" spans="1:23" ht="89.25" x14ac:dyDescent="0.2">
      <c r="A724" s="1" t="s">
        <v>2672</v>
      </c>
      <c r="B724" s="2" t="s">
        <v>222</v>
      </c>
      <c r="C724" s="2" t="s">
        <v>2673</v>
      </c>
      <c r="D724" s="2" t="s">
        <v>223</v>
      </c>
      <c r="E724" s="2">
        <v>2021</v>
      </c>
      <c r="F724" s="2" t="s">
        <v>311</v>
      </c>
      <c r="G724" s="2" t="s">
        <v>1669</v>
      </c>
      <c r="H724" s="2" t="s">
        <v>1669</v>
      </c>
      <c r="I724" s="1" t="s">
        <v>2674</v>
      </c>
      <c r="J724" s="1" t="s">
        <v>2675</v>
      </c>
      <c r="L724" s="53">
        <v>3.04E-2</v>
      </c>
      <c r="M724" s="39"/>
      <c r="N724" s="39"/>
      <c r="O724" s="39">
        <v>595</v>
      </c>
      <c r="P724" s="39"/>
      <c r="Q724" s="39"/>
      <c r="R724" s="39"/>
      <c r="S724" s="39"/>
      <c r="T724" s="39"/>
      <c r="U724" s="39"/>
      <c r="V724" s="39"/>
      <c r="W724" s="60" t="s">
        <v>1699</v>
      </c>
    </row>
    <row r="725" spans="1:23" ht="51" x14ac:dyDescent="0.2">
      <c r="A725" s="1" t="s">
        <v>104</v>
      </c>
      <c r="B725" s="2" t="s">
        <v>10</v>
      </c>
      <c r="C725" s="2" t="s">
        <v>105</v>
      </c>
      <c r="D725" s="2" t="s">
        <v>36</v>
      </c>
      <c r="E725" s="2">
        <v>2021</v>
      </c>
      <c r="F725" s="2" t="s">
        <v>1776</v>
      </c>
      <c r="G725" s="2" t="s">
        <v>1667</v>
      </c>
      <c r="H725" s="2" t="s">
        <v>1669</v>
      </c>
      <c r="I725" s="1" t="s">
        <v>14</v>
      </c>
      <c r="J725" s="1" t="s">
        <v>1588</v>
      </c>
      <c r="L725" s="53"/>
      <c r="M725" s="39"/>
      <c r="N725" s="39"/>
      <c r="O725" s="39"/>
      <c r="P725" s="39"/>
      <c r="Q725" s="39"/>
      <c r="R725" s="39"/>
      <c r="S725" s="39"/>
      <c r="T725" s="39"/>
      <c r="U725" s="39"/>
      <c r="V725" s="39"/>
      <c r="W725" s="60" t="s">
        <v>1735</v>
      </c>
    </row>
    <row r="726" spans="1:23" ht="51" x14ac:dyDescent="0.2">
      <c r="A726" s="1" t="s">
        <v>104</v>
      </c>
      <c r="B726" s="2" t="s">
        <v>10</v>
      </c>
      <c r="C726" s="2" t="s">
        <v>105</v>
      </c>
      <c r="D726" s="2" t="s">
        <v>36</v>
      </c>
      <c r="E726" s="2">
        <v>2021</v>
      </c>
      <c r="F726" s="2" t="s">
        <v>1779</v>
      </c>
      <c r="G726" s="2" t="s">
        <v>1667</v>
      </c>
      <c r="H726" s="2" t="s">
        <v>1669</v>
      </c>
      <c r="I726" s="1" t="s">
        <v>14</v>
      </c>
      <c r="J726" s="1" t="s">
        <v>599</v>
      </c>
      <c r="L726" s="53"/>
      <c r="M726" s="39"/>
      <c r="N726" s="39"/>
      <c r="O726" s="39"/>
      <c r="P726" s="39"/>
      <c r="Q726" s="39"/>
      <c r="R726" s="39"/>
      <c r="S726" s="39"/>
      <c r="T726" s="39"/>
      <c r="U726" s="39"/>
      <c r="V726" s="39"/>
      <c r="W726" s="60" t="s">
        <v>1735</v>
      </c>
    </row>
    <row r="727" spans="1:23" ht="51" x14ac:dyDescent="0.2">
      <c r="A727" s="1" t="s">
        <v>104</v>
      </c>
      <c r="B727" s="2" t="s">
        <v>10</v>
      </c>
      <c r="C727" s="2" t="s">
        <v>105</v>
      </c>
      <c r="D727" s="2" t="s">
        <v>36</v>
      </c>
      <c r="E727" s="2">
        <v>2021</v>
      </c>
      <c r="F727" s="2" t="s">
        <v>1781</v>
      </c>
      <c r="G727" s="2" t="s">
        <v>1667</v>
      </c>
      <c r="H727" s="2" t="s">
        <v>1669</v>
      </c>
      <c r="I727" s="1" t="s">
        <v>14</v>
      </c>
      <c r="J727" s="1" t="s">
        <v>2676</v>
      </c>
      <c r="L727" s="53"/>
      <c r="M727" s="39"/>
      <c r="N727" s="39"/>
      <c r="O727" s="39"/>
      <c r="P727" s="39"/>
      <c r="Q727" s="39"/>
      <c r="R727" s="39"/>
      <c r="S727" s="39"/>
      <c r="T727" s="39"/>
      <c r="U727" s="39"/>
      <c r="V727" s="39"/>
      <c r="W727" s="60" t="s">
        <v>1735</v>
      </c>
    </row>
    <row r="728" spans="1:23" ht="51" x14ac:dyDescent="0.2">
      <c r="A728" s="1" t="s">
        <v>104</v>
      </c>
      <c r="B728" s="2" t="s">
        <v>10</v>
      </c>
      <c r="C728" s="2" t="s">
        <v>105</v>
      </c>
      <c r="D728" s="2" t="s">
        <v>36</v>
      </c>
      <c r="E728" s="2">
        <v>2021</v>
      </c>
      <c r="F728" s="2" t="s">
        <v>1783</v>
      </c>
      <c r="G728" s="2" t="s">
        <v>1667</v>
      </c>
      <c r="H728" s="2" t="s">
        <v>1669</v>
      </c>
      <c r="I728" s="1" t="s">
        <v>14</v>
      </c>
      <c r="J728" s="1" t="s">
        <v>2677</v>
      </c>
      <c r="L728" s="53"/>
      <c r="M728" s="39"/>
      <c r="N728" s="39"/>
      <c r="O728" s="39"/>
      <c r="P728" s="39"/>
      <c r="Q728" s="39"/>
      <c r="R728" s="39"/>
      <c r="S728" s="39"/>
      <c r="T728" s="39"/>
      <c r="U728" s="39"/>
      <c r="V728" s="39"/>
      <c r="W728" s="60" t="s">
        <v>1735</v>
      </c>
    </row>
    <row r="729" spans="1:23" ht="51" x14ac:dyDescent="0.2">
      <c r="A729" s="1" t="s">
        <v>104</v>
      </c>
      <c r="B729" s="2" t="s">
        <v>10</v>
      </c>
      <c r="C729" s="2" t="s">
        <v>105</v>
      </c>
      <c r="D729" s="2" t="s">
        <v>36</v>
      </c>
      <c r="E729" s="2">
        <v>2021</v>
      </c>
      <c r="F729" s="2" t="s">
        <v>1785</v>
      </c>
      <c r="G729" s="2" t="s">
        <v>1667</v>
      </c>
      <c r="H729" s="2" t="s">
        <v>1669</v>
      </c>
      <c r="I729" s="1" t="s">
        <v>14</v>
      </c>
      <c r="J729" s="1" t="s">
        <v>599</v>
      </c>
      <c r="L729" s="53"/>
      <c r="M729" s="39"/>
      <c r="N729" s="39"/>
      <c r="O729" s="39"/>
      <c r="P729" s="39"/>
      <c r="Q729" s="39"/>
      <c r="R729" s="39"/>
      <c r="S729" s="39"/>
      <c r="T729" s="39"/>
      <c r="U729" s="39"/>
      <c r="V729" s="39"/>
      <c r="W729" s="60" t="s">
        <v>1735</v>
      </c>
    </row>
    <row r="730" spans="1:23" ht="51" x14ac:dyDescent="0.2">
      <c r="A730" s="1" t="s">
        <v>104</v>
      </c>
      <c r="B730" s="2" t="s">
        <v>10</v>
      </c>
      <c r="C730" s="2" t="s">
        <v>105</v>
      </c>
      <c r="D730" s="2" t="s">
        <v>36</v>
      </c>
      <c r="E730" s="2">
        <v>2021</v>
      </c>
      <c r="F730" s="2" t="s">
        <v>1787</v>
      </c>
      <c r="G730" s="2" t="s">
        <v>1667</v>
      </c>
      <c r="H730" s="2" t="s">
        <v>1669</v>
      </c>
      <c r="I730" s="1" t="s">
        <v>14</v>
      </c>
      <c r="J730" s="1" t="s">
        <v>2678</v>
      </c>
      <c r="L730" s="53"/>
      <c r="M730" s="39"/>
      <c r="N730" s="39"/>
      <c r="O730" s="39"/>
      <c r="P730" s="39"/>
      <c r="Q730" s="39"/>
      <c r="R730" s="39"/>
      <c r="S730" s="39"/>
      <c r="T730" s="39"/>
      <c r="U730" s="39"/>
      <c r="V730" s="39"/>
      <c r="W730" s="60" t="s">
        <v>1735</v>
      </c>
    </row>
    <row r="731" spans="1:23" ht="51" x14ac:dyDescent="0.2">
      <c r="A731" s="1" t="s">
        <v>104</v>
      </c>
      <c r="B731" s="2" t="s">
        <v>10</v>
      </c>
      <c r="C731" s="2" t="s">
        <v>105</v>
      </c>
      <c r="D731" s="2" t="s">
        <v>36</v>
      </c>
      <c r="E731" s="2">
        <v>2021</v>
      </c>
      <c r="F731" s="2" t="s">
        <v>1789</v>
      </c>
      <c r="G731" s="2" t="s">
        <v>1667</v>
      </c>
      <c r="H731" s="2" t="s">
        <v>1669</v>
      </c>
      <c r="I731" s="1" t="s">
        <v>14</v>
      </c>
      <c r="J731" s="1" t="s">
        <v>2679</v>
      </c>
      <c r="L731" s="53"/>
      <c r="M731" s="39"/>
      <c r="N731" s="39"/>
      <c r="O731" s="39"/>
      <c r="P731" s="39"/>
      <c r="Q731" s="39"/>
      <c r="R731" s="39"/>
      <c r="S731" s="39"/>
      <c r="T731" s="39"/>
      <c r="U731" s="39"/>
      <c r="V731" s="39"/>
      <c r="W731" s="60" t="s">
        <v>1735</v>
      </c>
    </row>
    <row r="732" spans="1:23" ht="51" x14ac:dyDescent="0.2">
      <c r="A732" s="1" t="s">
        <v>104</v>
      </c>
      <c r="B732" s="2" t="s">
        <v>10</v>
      </c>
      <c r="C732" s="2" t="s">
        <v>105</v>
      </c>
      <c r="D732" s="2" t="s">
        <v>36</v>
      </c>
      <c r="E732" s="2">
        <v>2021</v>
      </c>
      <c r="F732" s="2" t="s">
        <v>1791</v>
      </c>
      <c r="G732" s="2" t="s">
        <v>1667</v>
      </c>
      <c r="H732" s="2" t="s">
        <v>1669</v>
      </c>
      <c r="I732" s="1" t="s">
        <v>14</v>
      </c>
      <c r="J732" s="1" t="s">
        <v>2680</v>
      </c>
      <c r="L732" s="53"/>
      <c r="M732" s="39"/>
      <c r="N732" s="39"/>
      <c r="O732" s="39"/>
      <c r="P732" s="39"/>
      <c r="Q732" s="39"/>
      <c r="R732" s="39"/>
      <c r="S732" s="39"/>
      <c r="T732" s="39"/>
      <c r="U732" s="39"/>
      <c r="V732" s="39"/>
      <c r="W732" s="60" t="s">
        <v>1735</v>
      </c>
    </row>
    <row r="733" spans="1:23" ht="51" x14ac:dyDescent="0.2">
      <c r="A733" s="1" t="s">
        <v>104</v>
      </c>
      <c r="B733" s="2" t="s">
        <v>10</v>
      </c>
      <c r="C733" s="2" t="s">
        <v>105</v>
      </c>
      <c r="D733" s="2" t="s">
        <v>36</v>
      </c>
      <c r="E733" s="2">
        <v>2021</v>
      </c>
      <c r="F733" s="2" t="s">
        <v>311</v>
      </c>
      <c r="G733" s="2" t="s">
        <v>1667</v>
      </c>
      <c r="H733" s="2" t="s">
        <v>1669</v>
      </c>
      <c r="I733" s="1" t="s">
        <v>14</v>
      </c>
      <c r="J733" s="1" t="s">
        <v>2681</v>
      </c>
      <c r="L733" s="53"/>
      <c r="M733" s="39"/>
      <c r="N733" s="39"/>
      <c r="O733" s="39"/>
      <c r="P733" s="39"/>
      <c r="Q733" s="39"/>
      <c r="R733" s="39"/>
      <c r="S733" s="39"/>
      <c r="T733" s="39"/>
      <c r="U733" s="39"/>
      <c r="V733" s="39"/>
      <c r="W733" s="60" t="s">
        <v>1735</v>
      </c>
    </row>
    <row r="734" spans="1:23" ht="51" x14ac:dyDescent="0.2">
      <c r="A734" s="1" t="s">
        <v>104</v>
      </c>
      <c r="B734" s="2" t="s">
        <v>10</v>
      </c>
      <c r="C734" s="2" t="s">
        <v>105</v>
      </c>
      <c r="D734" s="2" t="s">
        <v>36</v>
      </c>
      <c r="E734" s="2">
        <v>2021</v>
      </c>
      <c r="F734" s="2" t="s">
        <v>1794</v>
      </c>
      <c r="G734" s="2" t="s">
        <v>1667</v>
      </c>
      <c r="H734" s="2" t="s">
        <v>1669</v>
      </c>
      <c r="I734" s="1" t="s">
        <v>14</v>
      </c>
      <c r="J734" s="1" t="s">
        <v>2682</v>
      </c>
      <c r="L734" s="53"/>
      <c r="M734" s="39"/>
      <c r="N734" s="39"/>
      <c r="O734" s="39"/>
      <c r="P734" s="39"/>
      <c r="Q734" s="39"/>
      <c r="R734" s="39"/>
      <c r="S734" s="39"/>
      <c r="T734" s="39"/>
      <c r="U734" s="39"/>
      <c r="V734" s="39"/>
      <c r="W734" s="60" t="s">
        <v>1735</v>
      </c>
    </row>
    <row r="735" spans="1:23" ht="51" x14ac:dyDescent="0.2">
      <c r="A735" s="1" t="s">
        <v>104</v>
      </c>
      <c r="B735" s="2" t="s">
        <v>10</v>
      </c>
      <c r="C735" s="2" t="s">
        <v>105</v>
      </c>
      <c r="D735" s="2" t="s">
        <v>36</v>
      </c>
      <c r="E735" s="2">
        <v>2021</v>
      </c>
      <c r="F735" s="2" t="s">
        <v>1796</v>
      </c>
      <c r="G735" s="2" t="s">
        <v>1667</v>
      </c>
      <c r="H735" s="2" t="s">
        <v>1669</v>
      </c>
      <c r="I735" s="1" t="s">
        <v>14</v>
      </c>
      <c r="J735" s="1" t="s">
        <v>599</v>
      </c>
      <c r="L735" s="53"/>
      <c r="M735" s="39"/>
      <c r="N735" s="39"/>
      <c r="O735" s="39"/>
      <c r="P735" s="39"/>
      <c r="Q735" s="39"/>
      <c r="R735" s="39"/>
      <c r="S735" s="39"/>
      <c r="T735" s="39"/>
      <c r="U735" s="39"/>
      <c r="V735" s="39"/>
      <c r="W735" s="60" t="s">
        <v>1735</v>
      </c>
    </row>
    <row r="736" spans="1:23" ht="51" x14ac:dyDescent="0.2">
      <c r="A736" s="1" t="s">
        <v>104</v>
      </c>
      <c r="B736" s="2" t="s">
        <v>10</v>
      </c>
      <c r="C736" s="2" t="s">
        <v>105</v>
      </c>
      <c r="D736" s="2" t="s">
        <v>36</v>
      </c>
      <c r="E736" s="2">
        <v>2021</v>
      </c>
      <c r="F736" s="2" t="s">
        <v>1798</v>
      </c>
      <c r="G736" s="2" t="s">
        <v>1667</v>
      </c>
      <c r="H736" s="2" t="s">
        <v>1669</v>
      </c>
      <c r="I736" s="1" t="s">
        <v>14</v>
      </c>
      <c r="J736" s="1" t="s">
        <v>765</v>
      </c>
      <c r="L736" s="53"/>
      <c r="M736" s="39"/>
      <c r="N736" s="39"/>
      <c r="O736" s="39"/>
      <c r="P736" s="39"/>
      <c r="Q736" s="39"/>
      <c r="R736" s="39"/>
      <c r="S736" s="39"/>
      <c r="T736" s="39"/>
      <c r="U736" s="39"/>
      <c r="V736" s="39"/>
      <c r="W736" s="60" t="s">
        <v>1735</v>
      </c>
    </row>
    <row r="737" spans="1:23" ht="38.25" x14ac:dyDescent="0.2">
      <c r="A737" s="1" t="s">
        <v>2683</v>
      </c>
      <c r="B737" s="2" t="s">
        <v>196</v>
      </c>
      <c r="C737" s="2" t="s">
        <v>2684</v>
      </c>
      <c r="D737" s="2" t="s">
        <v>184</v>
      </c>
      <c r="E737" s="2">
        <v>2021</v>
      </c>
      <c r="F737" s="2" t="s">
        <v>1785</v>
      </c>
      <c r="G737" s="2" t="s">
        <v>1669</v>
      </c>
      <c r="H737" s="2" t="s">
        <v>1668</v>
      </c>
      <c r="I737" s="1" t="s">
        <v>2685</v>
      </c>
      <c r="J737" s="1" t="s">
        <v>14</v>
      </c>
      <c r="L737" s="53"/>
      <c r="M737" s="39"/>
      <c r="N737" s="39"/>
      <c r="O737" s="39"/>
      <c r="P737" s="39"/>
      <c r="Q737" s="39"/>
      <c r="R737" s="39"/>
      <c r="S737" s="39"/>
      <c r="T737" s="39"/>
      <c r="U737" s="39"/>
      <c r="V737" s="39"/>
      <c r="W737" s="60" t="s">
        <v>1706</v>
      </c>
    </row>
    <row r="738" spans="1:23" ht="25.5" x14ac:dyDescent="0.2">
      <c r="A738" s="1" t="s">
        <v>289</v>
      </c>
      <c r="B738" s="2" t="s">
        <v>32</v>
      </c>
      <c r="C738" s="2" t="s">
        <v>290</v>
      </c>
      <c r="D738" s="2" t="s">
        <v>92</v>
      </c>
      <c r="E738" s="2">
        <v>2021</v>
      </c>
      <c r="F738" s="2" t="s">
        <v>1781</v>
      </c>
      <c r="G738" s="2" t="s">
        <v>1667</v>
      </c>
      <c r="H738" s="2" t="s">
        <v>1669</v>
      </c>
      <c r="I738" s="1" t="s">
        <v>14</v>
      </c>
      <c r="J738" s="1" t="s">
        <v>2686</v>
      </c>
      <c r="L738" s="53">
        <v>0.03</v>
      </c>
      <c r="M738" s="39"/>
      <c r="N738" s="39"/>
      <c r="O738" s="39">
        <v>70</v>
      </c>
      <c r="P738" s="39"/>
      <c r="Q738" s="39"/>
      <c r="R738" s="39"/>
      <c r="S738" s="39"/>
      <c r="T738" s="39"/>
      <c r="U738" s="39"/>
      <c r="V738" s="39"/>
      <c r="W738" s="60" t="s">
        <v>1699</v>
      </c>
    </row>
    <row r="739" spans="1:23" ht="25.5" x14ac:dyDescent="0.2">
      <c r="A739" s="1" t="s">
        <v>289</v>
      </c>
      <c r="B739" s="2" t="s">
        <v>32</v>
      </c>
      <c r="C739" s="2" t="s">
        <v>290</v>
      </c>
      <c r="D739" s="2" t="s">
        <v>92</v>
      </c>
      <c r="E739" s="2">
        <v>2021</v>
      </c>
      <c r="F739" s="2" t="s">
        <v>1794</v>
      </c>
      <c r="G739" s="2" t="s">
        <v>1667</v>
      </c>
      <c r="H739" s="2" t="s">
        <v>1669</v>
      </c>
      <c r="I739" s="1" t="s">
        <v>14</v>
      </c>
      <c r="J739" s="1" t="s">
        <v>2687</v>
      </c>
      <c r="L739" s="53">
        <v>0.04</v>
      </c>
      <c r="M739" s="39"/>
      <c r="N739" s="39"/>
      <c r="O739" s="39"/>
      <c r="P739" s="39"/>
      <c r="Q739" s="39"/>
      <c r="R739" s="39"/>
      <c r="S739" s="39"/>
      <c r="T739" s="39"/>
      <c r="U739" s="39"/>
      <c r="V739" s="39">
        <v>56</v>
      </c>
      <c r="W739" s="60" t="s">
        <v>1699</v>
      </c>
    </row>
    <row r="740" spans="1:23" ht="25.5" x14ac:dyDescent="0.2">
      <c r="A740" s="1" t="s">
        <v>289</v>
      </c>
      <c r="B740" s="2" t="s">
        <v>32</v>
      </c>
      <c r="C740" s="2" t="s">
        <v>290</v>
      </c>
      <c r="D740" s="2" t="s">
        <v>92</v>
      </c>
      <c r="E740" s="2">
        <v>2021</v>
      </c>
      <c r="F740" s="2" t="s">
        <v>1796</v>
      </c>
      <c r="G740" s="2" t="s">
        <v>1667</v>
      </c>
      <c r="H740" s="2" t="s">
        <v>1669</v>
      </c>
      <c r="I740" s="1" t="s">
        <v>14</v>
      </c>
      <c r="J740" s="1" t="s">
        <v>2687</v>
      </c>
      <c r="L740" s="53">
        <v>0.04</v>
      </c>
      <c r="M740" s="39"/>
      <c r="N740" s="39"/>
      <c r="O740" s="39"/>
      <c r="P740" s="39"/>
      <c r="Q740" s="39"/>
      <c r="R740" s="39"/>
      <c r="S740" s="39"/>
      <c r="T740" s="39"/>
      <c r="U740" s="39"/>
      <c r="V740" s="39">
        <v>56</v>
      </c>
      <c r="W740" s="60" t="s">
        <v>1699</v>
      </c>
    </row>
    <row r="741" spans="1:23" ht="25.5" x14ac:dyDescent="0.2">
      <c r="A741" s="1" t="s">
        <v>289</v>
      </c>
      <c r="B741" s="2" t="s">
        <v>32</v>
      </c>
      <c r="C741" s="2" t="s">
        <v>290</v>
      </c>
      <c r="D741" s="2" t="s">
        <v>92</v>
      </c>
      <c r="E741" s="2">
        <v>2021</v>
      </c>
      <c r="F741" s="2" t="s">
        <v>1798</v>
      </c>
      <c r="G741" s="2" t="s">
        <v>1667</v>
      </c>
      <c r="H741" s="2" t="s">
        <v>1669</v>
      </c>
      <c r="I741" s="1" t="s">
        <v>14</v>
      </c>
      <c r="J741" s="1" t="s">
        <v>2687</v>
      </c>
      <c r="L741" s="53">
        <v>0.04</v>
      </c>
      <c r="M741" s="39"/>
      <c r="N741" s="39"/>
      <c r="O741" s="39"/>
      <c r="P741" s="39"/>
      <c r="Q741" s="39"/>
      <c r="R741" s="39"/>
      <c r="S741" s="39"/>
      <c r="T741" s="39"/>
      <c r="U741" s="39"/>
      <c r="V741" s="39">
        <v>56</v>
      </c>
      <c r="W741" s="60" t="s">
        <v>1699</v>
      </c>
    </row>
    <row r="742" spans="1:23" ht="25.5" x14ac:dyDescent="0.2">
      <c r="A742" s="1" t="s">
        <v>2688</v>
      </c>
      <c r="B742" s="2" t="s">
        <v>2689</v>
      </c>
      <c r="C742" s="2" t="s">
        <v>2690</v>
      </c>
      <c r="D742" s="2" t="s">
        <v>305</v>
      </c>
      <c r="E742" s="2">
        <v>2021</v>
      </c>
      <c r="F742" s="2" t="s">
        <v>1796</v>
      </c>
      <c r="G742" s="2" t="s">
        <v>1669</v>
      </c>
      <c r="H742" s="2" t="s">
        <v>1669</v>
      </c>
      <c r="I742" s="1" t="s">
        <v>2691</v>
      </c>
      <c r="J742" s="1" t="s">
        <v>2692</v>
      </c>
      <c r="L742" s="53"/>
      <c r="M742" s="39"/>
      <c r="N742" s="39"/>
      <c r="O742" s="39"/>
      <c r="P742" s="39"/>
      <c r="Q742" s="39"/>
      <c r="R742" s="39"/>
      <c r="S742" s="39"/>
      <c r="T742" s="39"/>
      <c r="U742" s="39"/>
      <c r="V742" s="39"/>
      <c r="W742" s="60" t="s">
        <v>1683</v>
      </c>
    </row>
    <row r="743" spans="1:23" ht="25.5" x14ac:dyDescent="0.2">
      <c r="A743" s="1" t="s">
        <v>294</v>
      </c>
      <c r="B743" s="2" t="s">
        <v>295</v>
      </c>
      <c r="C743" s="2" t="s">
        <v>296</v>
      </c>
      <c r="D743" s="2" t="s">
        <v>297</v>
      </c>
      <c r="E743" s="2">
        <v>2021</v>
      </c>
      <c r="F743" s="2" t="s">
        <v>1794</v>
      </c>
      <c r="G743" s="2" t="s">
        <v>1668</v>
      </c>
      <c r="H743" s="2" t="s">
        <v>1669</v>
      </c>
      <c r="I743" s="1" t="s">
        <v>14</v>
      </c>
      <c r="J743" s="1" t="s">
        <v>2693</v>
      </c>
      <c r="L743" s="53">
        <v>0.2374</v>
      </c>
      <c r="M743" s="39"/>
      <c r="N743" s="39"/>
      <c r="O743" s="39">
        <v>566.80999999999995</v>
      </c>
      <c r="P743" s="39"/>
      <c r="Q743" s="39"/>
      <c r="R743" s="39"/>
      <c r="S743" s="39"/>
      <c r="T743" s="39"/>
      <c r="U743" s="39"/>
      <c r="V743" s="39"/>
      <c r="W743" s="60"/>
    </row>
    <row r="744" spans="1:23" ht="51" x14ac:dyDescent="0.2">
      <c r="A744" s="1" t="s">
        <v>294</v>
      </c>
      <c r="B744" s="2" t="s">
        <v>295</v>
      </c>
      <c r="C744" s="2" t="s">
        <v>296</v>
      </c>
      <c r="D744" s="2" t="s">
        <v>297</v>
      </c>
      <c r="E744" s="2">
        <v>2021</v>
      </c>
      <c r="F744" s="2" t="s">
        <v>1796</v>
      </c>
      <c r="G744" s="2" t="s">
        <v>1669</v>
      </c>
      <c r="H744" s="2" t="s">
        <v>1668</v>
      </c>
      <c r="I744" s="1" t="s">
        <v>2694</v>
      </c>
      <c r="J744" s="1" t="s">
        <v>14</v>
      </c>
      <c r="L744" s="53"/>
      <c r="M744" s="39"/>
      <c r="N744" s="39"/>
      <c r="O744" s="39"/>
      <c r="P744" s="39"/>
      <c r="Q744" s="39"/>
      <c r="R744" s="39"/>
      <c r="S744" s="39"/>
      <c r="T744" s="39"/>
      <c r="U744" s="39"/>
      <c r="V744" s="39"/>
      <c r="W744" s="60" t="s">
        <v>1693</v>
      </c>
    </row>
    <row r="745" spans="1:23" ht="38.25" x14ac:dyDescent="0.2">
      <c r="A745" s="1" t="s">
        <v>294</v>
      </c>
      <c r="B745" s="2" t="s">
        <v>295</v>
      </c>
      <c r="C745" s="2" t="s">
        <v>296</v>
      </c>
      <c r="D745" s="2" t="s">
        <v>297</v>
      </c>
      <c r="E745" s="2">
        <v>2021</v>
      </c>
      <c r="F745" s="2" t="s">
        <v>1798</v>
      </c>
      <c r="G745" s="2" t="s">
        <v>1669</v>
      </c>
      <c r="H745" s="2" t="s">
        <v>1668</v>
      </c>
      <c r="I745" s="1" t="s">
        <v>2695</v>
      </c>
      <c r="J745" s="1" t="s">
        <v>14</v>
      </c>
      <c r="L745" s="53"/>
      <c r="M745" s="39"/>
      <c r="N745" s="39"/>
      <c r="O745" s="39"/>
      <c r="P745" s="39"/>
      <c r="Q745" s="39"/>
      <c r="R745" s="39"/>
      <c r="S745" s="39"/>
      <c r="T745" s="39"/>
      <c r="U745" s="39"/>
      <c r="V745" s="39"/>
      <c r="W745" s="60" t="s">
        <v>1693</v>
      </c>
    </row>
    <row r="746" spans="1:23" ht="25.5" x14ac:dyDescent="0.2">
      <c r="A746" s="1" t="s">
        <v>319</v>
      </c>
      <c r="B746" s="2" t="s">
        <v>318</v>
      </c>
      <c r="C746" s="2" t="s">
        <v>320</v>
      </c>
      <c r="D746" s="2" t="s">
        <v>305</v>
      </c>
      <c r="E746" s="2">
        <v>2021</v>
      </c>
      <c r="F746" s="2" t="s">
        <v>311</v>
      </c>
      <c r="G746" s="2" t="s">
        <v>1669</v>
      </c>
      <c r="H746" s="2" t="s">
        <v>1669</v>
      </c>
      <c r="I746" s="1" t="s">
        <v>2696</v>
      </c>
      <c r="J746" s="1" t="s">
        <v>2697</v>
      </c>
      <c r="L746" s="53" t="s">
        <v>1670</v>
      </c>
      <c r="M746" s="39"/>
      <c r="N746" s="39"/>
      <c r="O746" s="39"/>
      <c r="P746" s="39"/>
      <c r="Q746" s="39"/>
      <c r="R746" s="39"/>
      <c r="S746" s="39"/>
      <c r="T746" s="39"/>
      <c r="U746" s="39"/>
      <c r="V746" s="39">
        <v>35.32</v>
      </c>
      <c r="W746" s="60" t="s">
        <v>1682</v>
      </c>
    </row>
    <row r="747" spans="1:23" ht="89.25" x14ac:dyDescent="0.2">
      <c r="A747" s="1" t="s">
        <v>1546</v>
      </c>
      <c r="B747" s="2" t="s">
        <v>271</v>
      </c>
      <c r="C747" s="2" t="s">
        <v>1547</v>
      </c>
      <c r="D747" s="2" t="s">
        <v>40</v>
      </c>
      <c r="E747" s="2">
        <v>2021</v>
      </c>
      <c r="F747" s="2" t="s">
        <v>1796</v>
      </c>
      <c r="G747" s="2" t="s">
        <v>1669</v>
      </c>
      <c r="H747" s="2" t="s">
        <v>1668</v>
      </c>
      <c r="I747" s="1" t="s">
        <v>2698</v>
      </c>
      <c r="J747" s="1" t="s">
        <v>14</v>
      </c>
      <c r="L747" s="53"/>
      <c r="M747" s="39"/>
      <c r="N747" s="39"/>
      <c r="O747" s="39"/>
      <c r="P747" s="39"/>
      <c r="Q747" s="39"/>
      <c r="R747" s="39"/>
      <c r="S747" s="39"/>
      <c r="T747" s="39"/>
      <c r="U747" s="39"/>
      <c r="V747" s="39"/>
      <c r="W747" s="60" t="s">
        <v>1693</v>
      </c>
    </row>
    <row r="748" spans="1:23" ht="51" x14ac:dyDescent="0.2">
      <c r="A748" s="1" t="s">
        <v>1063</v>
      </c>
      <c r="B748" s="2" t="s">
        <v>196</v>
      </c>
      <c r="C748" s="2" t="s">
        <v>300</v>
      </c>
      <c r="D748" s="2" t="s">
        <v>197</v>
      </c>
      <c r="E748" s="2">
        <v>2021</v>
      </c>
      <c r="F748" s="2" t="s">
        <v>1791</v>
      </c>
      <c r="G748" s="2" t="s">
        <v>1668</v>
      </c>
      <c r="H748" s="2" t="s">
        <v>1669</v>
      </c>
      <c r="I748" s="1" t="s">
        <v>14</v>
      </c>
      <c r="J748" s="1" t="s">
        <v>2699</v>
      </c>
      <c r="L748" s="53" t="s">
        <v>1670</v>
      </c>
      <c r="M748" s="39"/>
      <c r="N748" s="39"/>
      <c r="O748" s="39">
        <f>49.22/0.2</f>
        <v>246.1</v>
      </c>
      <c r="P748" s="39"/>
      <c r="Q748" s="39"/>
      <c r="R748" s="39"/>
      <c r="S748" s="39"/>
      <c r="T748" s="39"/>
      <c r="U748" s="39"/>
      <c r="V748" s="39"/>
      <c r="W748" s="60" t="s">
        <v>2700</v>
      </c>
    </row>
    <row r="749" spans="1:23" ht="25.5" x14ac:dyDescent="0.2">
      <c r="A749" s="1" t="s">
        <v>298</v>
      </c>
      <c r="B749" s="2" t="s">
        <v>299</v>
      </c>
      <c r="C749" s="2" t="s">
        <v>300</v>
      </c>
      <c r="D749" s="2" t="s">
        <v>197</v>
      </c>
      <c r="E749" s="2">
        <v>2021</v>
      </c>
      <c r="F749" s="2" t="s">
        <v>1796</v>
      </c>
      <c r="G749" s="2" t="s">
        <v>1669</v>
      </c>
      <c r="H749" s="2" t="s">
        <v>1669</v>
      </c>
      <c r="I749" s="1" t="s">
        <v>2701</v>
      </c>
      <c r="J749" s="1" t="s">
        <v>2702</v>
      </c>
      <c r="L749" s="53"/>
      <c r="M749" s="39"/>
      <c r="N749" s="39"/>
      <c r="O749" s="39"/>
      <c r="P749" s="39"/>
      <c r="Q749" s="39"/>
      <c r="R749" s="39"/>
      <c r="S749" s="39">
        <f>5250*0.004546</f>
        <v>23.866499999999998</v>
      </c>
      <c r="T749" s="39"/>
      <c r="U749" s="39"/>
      <c r="V749" s="39"/>
      <c r="W749" s="60" t="s">
        <v>1701</v>
      </c>
    </row>
    <row r="750" spans="1:23" ht="38.25" x14ac:dyDescent="0.2">
      <c r="A750" s="1" t="s">
        <v>78</v>
      </c>
      <c r="B750" s="2" t="s">
        <v>24</v>
      </c>
      <c r="C750" s="2" t="s">
        <v>79</v>
      </c>
      <c r="D750" s="2" t="s">
        <v>80</v>
      </c>
      <c r="E750" s="2">
        <v>2021</v>
      </c>
      <c r="F750" s="2" t="s">
        <v>1776</v>
      </c>
      <c r="G750" s="2" t="s">
        <v>1667</v>
      </c>
      <c r="H750" s="2" t="s">
        <v>1669</v>
      </c>
      <c r="I750" s="1" t="s">
        <v>14</v>
      </c>
      <c r="J750" s="1" t="s">
        <v>2703</v>
      </c>
      <c r="L750" s="53">
        <v>0.247</v>
      </c>
      <c r="M750" s="39"/>
      <c r="N750" s="39"/>
      <c r="O750" s="39">
        <v>438.03</v>
      </c>
      <c r="P750" s="39"/>
      <c r="Q750" s="39"/>
      <c r="R750" s="39"/>
      <c r="S750" s="39"/>
      <c r="T750" s="39"/>
      <c r="U750" s="39"/>
      <c r="V750" s="39"/>
      <c r="W750" s="60" t="s">
        <v>1737</v>
      </c>
    </row>
    <row r="751" spans="1:23" ht="51" x14ac:dyDescent="0.2">
      <c r="A751" s="1" t="s">
        <v>78</v>
      </c>
      <c r="B751" s="2" t="s">
        <v>24</v>
      </c>
      <c r="C751" s="2" t="s">
        <v>79</v>
      </c>
      <c r="D751" s="2" t="s">
        <v>80</v>
      </c>
      <c r="E751" s="2">
        <v>2021</v>
      </c>
      <c r="F751" s="2" t="s">
        <v>1779</v>
      </c>
      <c r="G751" s="2" t="s">
        <v>1667</v>
      </c>
      <c r="H751" s="2" t="s">
        <v>1669</v>
      </c>
      <c r="I751" s="1" t="s">
        <v>14</v>
      </c>
      <c r="J751" s="1" t="s">
        <v>2704</v>
      </c>
      <c r="L751" s="53">
        <v>0.24099999999999999</v>
      </c>
      <c r="M751" s="39"/>
      <c r="N751" s="39"/>
      <c r="O751" s="39">
        <v>473.29</v>
      </c>
      <c r="P751" s="39"/>
      <c r="Q751" s="39"/>
      <c r="R751" s="39"/>
      <c r="S751" s="39"/>
      <c r="T751" s="39"/>
      <c r="U751" s="39"/>
      <c r="V751" s="39"/>
      <c r="W751" s="60" t="s">
        <v>1737</v>
      </c>
    </row>
    <row r="752" spans="1:23" ht="25.5" x14ac:dyDescent="0.2">
      <c r="A752" s="1" t="s">
        <v>78</v>
      </c>
      <c r="B752" s="2" t="s">
        <v>24</v>
      </c>
      <c r="C752" s="2" t="s">
        <v>79</v>
      </c>
      <c r="D752" s="2" t="s">
        <v>80</v>
      </c>
      <c r="E752" s="2">
        <v>2021</v>
      </c>
      <c r="F752" s="2" t="s">
        <v>1781</v>
      </c>
      <c r="G752" s="2" t="s">
        <v>1667</v>
      </c>
      <c r="H752" s="2" t="s">
        <v>1669</v>
      </c>
      <c r="I752" s="1" t="s">
        <v>14</v>
      </c>
      <c r="J752" s="1" t="s">
        <v>2705</v>
      </c>
      <c r="L752" s="53">
        <v>0.24399999999999999</v>
      </c>
      <c r="M752" s="39"/>
      <c r="N752" s="39"/>
      <c r="O752" s="39">
        <v>580.30999999999995</v>
      </c>
      <c r="P752" s="39"/>
      <c r="Q752" s="39"/>
      <c r="R752" s="39"/>
      <c r="S752" s="39"/>
      <c r="T752" s="39"/>
      <c r="U752" s="39"/>
      <c r="V752" s="39"/>
      <c r="W752" s="60" t="s">
        <v>1737</v>
      </c>
    </row>
    <row r="753" spans="1:23" ht="63.75" x14ac:dyDescent="0.2">
      <c r="A753" s="1" t="s">
        <v>78</v>
      </c>
      <c r="B753" s="2" t="s">
        <v>24</v>
      </c>
      <c r="C753" s="2" t="s">
        <v>79</v>
      </c>
      <c r="D753" s="2" t="s">
        <v>80</v>
      </c>
      <c r="E753" s="2">
        <v>2021</v>
      </c>
      <c r="F753" s="2" t="s">
        <v>1783</v>
      </c>
      <c r="G753" s="2" t="s">
        <v>1667</v>
      </c>
      <c r="H753" s="2" t="s">
        <v>1669</v>
      </c>
      <c r="I753" s="1" t="s">
        <v>14</v>
      </c>
      <c r="J753" s="1" t="s">
        <v>2706</v>
      </c>
      <c r="L753" s="53">
        <v>0.26200000000000001</v>
      </c>
      <c r="M753" s="39"/>
      <c r="N753" s="39"/>
      <c r="O753" s="39">
        <v>565.11</v>
      </c>
      <c r="P753" s="39"/>
      <c r="Q753" s="39"/>
      <c r="R753" s="39"/>
      <c r="S753" s="39"/>
      <c r="T753" s="39"/>
      <c r="U753" s="39"/>
      <c r="V753" s="39"/>
      <c r="W753" s="60" t="s">
        <v>1737</v>
      </c>
    </row>
    <row r="754" spans="1:23" ht="51" x14ac:dyDescent="0.2">
      <c r="A754" s="1" t="s">
        <v>78</v>
      </c>
      <c r="B754" s="2" t="s">
        <v>24</v>
      </c>
      <c r="C754" s="2" t="s">
        <v>79</v>
      </c>
      <c r="D754" s="2" t="s">
        <v>80</v>
      </c>
      <c r="E754" s="2">
        <v>2021</v>
      </c>
      <c r="F754" s="2" t="s">
        <v>1785</v>
      </c>
      <c r="G754" s="2" t="s">
        <v>1667</v>
      </c>
      <c r="H754" s="2" t="s">
        <v>1669</v>
      </c>
      <c r="I754" s="1" t="s">
        <v>14</v>
      </c>
      <c r="J754" s="1" t="s">
        <v>2707</v>
      </c>
      <c r="L754" s="53">
        <v>0.254</v>
      </c>
      <c r="M754" s="39"/>
      <c r="N754" s="39"/>
      <c r="O754" s="39">
        <v>626.76</v>
      </c>
      <c r="P754" s="39"/>
      <c r="Q754" s="39"/>
      <c r="R754" s="39"/>
      <c r="S754" s="39"/>
      <c r="T754" s="39"/>
      <c r="U754" s="39"/>
      <c r="V754" s="39"/>
      <c r="W754" s="60" t="s">
        <v>1737</v>
      </c>
    </row>
    <row r="755" spans="1:23" ht="51" x14ac:dyDescent="0.2">
      <c r="A755" s="1" t="s">
        <v>78</v>
      </c>
      <c r="B755" s="2" t="s">
        <v>24</v>
      </c>
      <c r="C755" s="2" t="s">
        <v>79</v>
      </c>
      <c r="D755" s="2" t="s">
        <v>80</v>
      </c>
      <c r="E755" s="2">
        <v>2021</v>
      </c>
      <c r="F755" s="2" t="s">
        <v>1787</v>
      </c>
      <c r="G755" s="2" t="s">
        <v>1667</v>
      </c>
      <c r="H755" s="2" t="s">
        <v>1669</v>
      </c>
      <c r="I755" s="1" t="s">
        <v>14</v>
      </c>
      <c r="J755" s="1" t="s">
        <v>2708</v>
      </c>
      <c r="L755" s="53">
        <v>0.26</v>
      </c>
      <c r="M755" s="39"/>
      <c r="N755" s="39"/>
      <c r="O755" s="39">
        <v>685.32</v>
      </c>
      <c r="P755" s="39"/>
      <c r="Q755" s="39"/>
      <c r="R755" s="39"/>
      <c r="S755" s="39"/>
      <c r="T755" s="39"/>
      <c r="U755" s="39"/>
      <c r="V755" s="39"/>
      <c r="W755" s="60" t="s">
        <v>1737</v>
      </c>
    </row>
    <row r="756" spans="1:23" ht="76.5" x14ac:dyDescent="0.2">
      <c r="A756" s="1" t="s">
        <v>78</v>
      </c>
      <c r="B756" s="2" t="s">
        <v>24</v>
      </c>
      <c r="C756" s="2" t="s">
        <v>79</v>
      </c>
      <c r="D756" s="2" t="s">
        <v>80</v>
      </c>
      <c r="E756" s="2">
        <v>2021</v>
      </c>
      <c r="F756" s="2" t="s">
        <v>1789</v>
      </c>
      <c r="G756" s="2" t="s">
        <v>1667</v>
      </c>
      <c r="H756" s="2" t="s">
        <v>1669</v>
      </c>
      <c r="I756" s="1" t="s">
        <v>14</v>
      </c>
      <c r="J756" s="1" t="s">
        <v>2709</v>
      </c>
      <c r="L756" s="53">
        <v>0.25900000000000001</v>
      </c>
      <c r="M756" s="39"/>
      <c r="N756" s="39"/>
      <c r="O756" s="39">
        <v>630</v>
      </c>
      <c r="P756" s="39"/>
      <c r="Q756" s="39"/>
      <c r="R756" s="39"/>
      <c r="S756" s="39"/>
      <c r="T756" s="39"/>
      <c r="U756" s="39"/>
      <c r="V756" s="39"/>
      <c r="W756" s="60" t="s">
        <v>1737</v>
      </c>
    </row>
    <row r="757" spans="1:23" ht="51" x14ac:dyDescent="0.2">
      <c r="A757" s="1" t="s">
        <v>78</v>
      </c>
      <c r="B757" s="2" t="s">
        <v>24</v>
      </c>
      <c r="C757" s="2" t="s">
        <v>79</v>
      </c>
      <c r="D757" s="2" t="s">
        <v>80</v>
      </c>
      <c r="E757" s="2">
        <v>2021</v>
      </c>
      <c r="F757" s="2" t="s">
        <v>1791</v>
      </c>
      <c r="G757" s="2" t="s">
        <v>1667</v>
      </c>
      <c r="H757" s="2" t="s">
        <v>1669</v>
      </c>
      <c r="I757" s="1" t="s">
        <v>14</v>
      </c>
      <c r="J757" s="1" t="s">
        <v>2710</v>
      </c>
      <c r="L757" s="53">
        <v>0.252</v>
      </c>
      <c r="M757" s="39"/>
      <c r="N757" s="39"/>
      <c r="O757" s="39">
        <v>690.1</v>
      </c>
      <c r="P757" s="39"/>
      <c r="Q757" s="39"/>
      <c r="R757" s="39"/>
      <c r="S757" s="39"/>
      <c r="T757" s="39"/>
      <c r="U757" s="39"/>
      <c r="V757" s="39"/>
      <c r="W757" s="60" t="s">
        <v>1737</v>
      </c>
    </row>
    <row r="758" spans="1:23" ht="63.75" x14ac:dyDescent="0.2">
      <c r="A758" s="1" t="s">
        <v>78</v>
      </c>
      <c r="B758" s="2" t="s">
        <v>24</v>
      </c>
      <c r="C758" s="2" t="s">
        <v>79</v>
      </c>
      <c r="D758" s="2" t="s">
        <v>80</v>
      </c>
      <c r="E758" s="2">
        <v>2021</v>
      </c>
      <c r="F758" s="2" t="s">
        <v>311</v>
      </c>
      <c r="G758" s="2" t="s">
        <v>1667</v>
      </c>
      <c r="H758" s="2" t="s">
        <v>1669</v>
      </c>
      <c r="I758" s="1" t="s">
        <v>14</v>
      </c>
      <c r="J758" s="1" t="s">
        <v>2711</v>
      </c>
      <c r="L758" s="53">
        <v>0.248</v>
      </c>
      <c r="M758" s="39"/>
      <c r="N758" s="39"/>
      <c r="O758" s="39">
        <v>648.21</v>
      </c>
      <c r="P758" s="39"/>
      <c r="Q758" s="39"/>
      <c r="R758" s="39"/>
      <c r="S758" s="39"/>
      <c r="T758" s="39"/>
      <c r="U758" s="39"/>
      <c r="V758" s="39"/>
      <c r="W758" s="60" t="s">
        <v>1737</v>
      </c>
    </row>
    <row r="759" spans="1:23" ht="25.5" x14ac:dyDescent="0.2">
      <c r="A759" s="1" t="s">
        <v>78</v>
      </c>
      <c r="B759" s="2" t="s">
        <v>24</v>
      </c>
      <c r="C759" s="2" t="s">
        <v>79</v>
      </c>
      <c r="D759" s="2" t="s">
        <v>80</v>
      </c>
      <c r="E759" s="2">
        <v>2021</v>
      </c>
      <c r="F759" s="2" t="s">
        <v>1794</v>
      </c>
      <c r="G759" s="2" t="s">
        <v>1667</v>
      </c>
      <c r="H759" s="2" t="s">
        <v>1669</v>
      </c>
      <c r="I759" s="1" t="s">
        <v>14</v>
      </c>
      <c r="J759" s="1" t="s">
        <v>2712</v>
      </c>
      <c r="L759" s="53">
        <v>0.23</v>
      </c>
      <c r="M759" s="39"/>
      <c r="N759" s="39"/>
      <c r="O759" s="39">
        <v>618.5</v>
      </c>
      <c r="P759" s="39"/>
      <c r="Q759" s="39"/>
      <c r="R759" s="39"/>
      <c r="S759" s="39"/>
      <c r="T759" s="39"/>
      <c r="U759" s="39"/>
      <c r="V759" s="39"/>
      <c r="W759" s="60" t="s">
        <v>1737</v>
      </c>
    </row>
    <row r="760" spans="1:23" ht="76.5" x14ac:dyDescent="0.2">
      <c r="A760" s="1" t="s">
        <v>78</v>
      </c>
      <c r="B760" s="2" t="s">
        <v>24</v>
      </c>
      <c r="C760" s="2" t="s">
        <v>79</v>
      </c>
      <c r="D760" s="2" t="s">
        <v>80</v>
      </c>
      <c r="E760" s="2">
        <v>2021</v>
      </c>
      <c r="F760" s="2" t="s">
        <v>1796</v>
      </c>
      <c r="G760" s="2" t="s">
        <v>1667</v>
      </c>
      <c r="H760" s="2" t="s">
        <v>1669</v>
      </c>
      <c r="I760" s="1" t="s">
        <v>14</v>
      </c>
      <c r="J760" s="1" t="s">
        <v>2713</v>
      </c>
      <c r="L760" s="53">
        <v>0.23200000000000001</v>
      </c>
      <c r="M760" s="39"/>
      <c r="N760" s="39"/>
      <c r="O760" s="39">
        <v>649.11</v>
      </c>
      <c r="P760" s="39"/>
      <c r="Q760" s="39"/>
      <c r="R760" s="39"/>
      <c r="S760" s="39"/>
      <c r="T760" s="39"/>
      <c r="U760" s="39"/>
      <c r="V760" s="39"/>
      <c r="W760" s="60" t="s">
        <v>1737</v>
      </c>
    </row>
    <row r="761" spans="1:23" ht="63.75" x14ac:dyDescent="0.2">
      <c r="A761" s="1" t="s">
        <v>78</v>
      </c>
      <c r="B761" s="2" t="s">
        <v>24</v>
      </c>
      <c r="C761" s="2" t="s">
        <v>79</v>
      </c>
      <c r="D761" s="2" t="s">
        <v>80</v>
      </c>
      <c r="E761" s="2">
        <v>2021</v>
      </c>
      <c r="F761" s="2" t="s">
        <v>1798</v>
      </c>
      <c r="G761" s="2" t="s">
        <v>1667</v>
      </c>
      <c r="H761" s="2" t="s">
        <v>1669</v>
      </c>
      <c r="I761" s="1" t="s">
        <v>14</v>
      </c>
      <c r="J761" s="1" t="s">
        <v>2714</v>
      </c>
      <c r="L761" s="53">
        <v>0.23300000000000001</v>
      </c>
      <c r="M761" s="39"/>
      <c r="N761" s="39"/>
      <c r="O761" s="39">
        <v>588.79</v>
      </c>
      <c r="P761" s="39"/>
      <c r="Q761" s="39"/>
      <c r="R761" s="39"/>
      <c r="S761" s="39"/>
      <c r="T761" s="39"/>
      <c r="U761" s="39"/>
      <c r="V761" s="39"/>
      <c r="W761" s="60" t="s">
        <v>1737</v>
      </c>
    </row>
    <row r="762" spans="1:23" ht="38.25" x14ac:dyDescent="0.2">
      <c r="A762" s="1" t="s">
        <v>1554</v>
      </c>
      <c r="B762" s="2" t="s">
        <v>196</v>
      </c>
      <c r="C762" s="2" t="s">
        <v>1555</v>
      </c>
      <c r="D762" s="2" t="s">
        <v>314</v>
      </c>
      <c r="E762" s="2">
        <v>2021</v>
      </c>
      <c r="F762" s="2" t="s">
        <v>1796</v>
      </c>
      <c r="G762" s="2" t="s">
        <v>1669</v>
      </c>
      <c r="H762" s="2" t="s">
        <v>1669</v>
      </c>
      <c r="I762" s="1" t="s">
        <v>2715</v>
      </c>
      <c r="J762" s="1" t="s">
        <v>2716</v>
      </c>
      <c r="L762" s="53">
        <v>2.7E-2</v>
      </c>
      <c r="M762" s="39"/>
      <c r="N762" s="39"/>
      <c r="O762" s="39"/>
      <c r="P762" s="39"/>
      <c r="Q762" s="39"/>
      <c r="R762" s="39"/>
      <c r="S762" s="39"/>
      <c r="T762" s="39"/>
      <c r="U762" s="39"/>
      <c r="V762" s="39">
        <v>3470.95</v>
      </c>
      <c r="W762" s="60" t="s">
        <v>2436</v>
      </c>
    </row>
    <row r="763" spans="1:23" ht="51" x14ac:dyDescent="0.2">
      <c r="A763" s="1" t="s">
        <v>209</v>
      </c>
      <c r="B763" s="2" t="s">
        <v>10</v>
      </c>
      <c r="C763" s="2" t="s">
        <v>210</v>
      </c>
      <c r="D763" s="2" t="s">
        <v>12</v>
      </c>
      <c r="E763" s="2">
        <v>2021</v>
      </c>
      <c r="F763" s="2" t="s">
        <v>1776</v>
      </c>
      <c r="G763" s="2" t="s">
        <v>1667</v>
      </c>
      <c r="H763" s="2" t="s">
        <v>1669</v>
      </c>
      <c r="I763" s="1" t="s">
        <v>14</v>
      </c>
      <c r="J763" s="1" t="s">
        <v>2717</v>
      </c>
      <c r="L763" s="53"/>
      <c r="M763" s="39"/>
      <c r="N763" s="39"/>
      <c r="O763" s="39"/>
      <c r="P763" s="39"/>
      <c r="Q763" s="39"/>
      <c r="R763" s="39"/>
      <c r="S763" s="39"/>
      <c r="T763" s="39"/>
      <c r="U763" s="39"/>
      <c r="V763" s="39"/>
      <c r="W763" s="60" t="s">
        <v>1735</v>
      </c>
    </row>
    <row r="764" spans="1:23" ht="51" x14ac:dyDescent="0.2">
      <c r="A764" s="1" t="s">
        <v>209</v>
      </c>
      <c r="B764" s="2" t="s">
        <v>10</v>
      </c>
      <c r="C764" s="2" t="s">
        <v>210</v>
      </c>
      <c r="D764" s="2" t="s">
        <v>12</v>
      </c>
      <c r="E764" s="2">
        <v>2021</v>
      </c>
      <c r="F764" s="2" t="s">
        <v>1781</v>
      </c>
      <c r="G764" s="2" t="s">
        <v>1667</v>
      </c>
      <c r="H764" s="2" t="s">
        <v>1669</v>
      </c>
      <c r="I764" s="1" t="s">
        <v>14</v>
      </c>
      <c r="J764" s="1" t="s">
        <v>2718</v>
      </c>
      <c r="L764" s="53"/>
      <c r="M764" s="39"/>
      <c r="N764" s="39"/>
      <c r="O764" s="39"/>
      <c r="P764" s="39"/>
      <c r="Q764" s="39"/>
      <c r="R764" s="39"/>
      <c r="S764" s="39"/>
      <c r="T764" s="39"/>
      <c r="U764" s="39"/>
      <c r="V764" s="39"/>
      <c r="W764" s="60" t="s">
        <v>1735</v>
      </c>
    </row>
    <row r="765" spans="1:23" ht="51" x14ac:dyDescent="0.2">
      <c r="A765" s="1" t="s">
        <v>209</v>
      </c>
      <c r="B765" s="2" t="s">
        <v>10</v>
      </c>
      <c r="C765" s="2" t="s">
        <v>210</v>
      </c>
      <c r="D765" s="2" t="s">
        <v>12</v>
      </c>
      <c r="E765" s="2">
        <v>2021</v>
      </c>
      <c r="F765" s="2" t="s">
        <v>1783</v>
      </c>
      <c r="G765" s="2" t="s">
        <v>1667</v>
      </c>
      <c r="H765" s="2" t="s">
        <v>1669</v>
      </c>
      <c r="I765" s="1" t="s">
        <v>14</v>
      </c>
      <c r="J765" s="1" t="s">
        <v>2719</v>
      </c>
      <c r="L765" s="53"/>
      <c r="M765" s="39"/>
      <c r="N765" s="39"/>
      <c r="O765" s="39"/>
      <c r="P765" s="39"/>
      <c r="Q765" s="39"/>
      <c r="R765" s="39"/>
      <c r="S765" s="39"/>
      <c r="T765" s="39"/>
      <c r="U765" s="39"/>
      <c r="V765" s="39"/>
      <c r="W765" s="60" t="s">
        <v>1735</v>
      </c>
    </row>
    <row r="766" spans="1:23" ht="51" x14ac:dyDescent="0.2">
      <c r="A766" s="1" t="s">
        <v>209</v>
      </c>
      <c r="B766" s="2" t="s">
        <v>10</v>
      </c>
      <c r="C766" s="2" t="s">
        <v>210</v>
      </c>
      <c r="D766" s="2" t="s">
        <v>12</v>
      </c>
      <c r="E766" s="2">
        <v>2021</v>
      </c>
      <c r="F766" s="2" t="s">
        <v>1785</v>
      </c>
      <c r="G766" s="2" t="s">
        <v>1667</v>
      </c>
      <c r="H766" s="2" t="s">
        <v>1669</v>
      </c>
      <c r="I766" s="1" t="s">
        <v>14</v>
      </c>
      <c r="J766" s="1" t="s">
        <v>2720</v>
      </c>
      <c r="L766" s="53"/>
      <c r="M766" s="39"/>
      <c r="N766" s="39"/>
      <c r="O766" s="39"/>
      <c r="P766" s="39"/>
      <c r="Q766" s="39"/>
      <c r="R766" s="39"/>
      <c r="S766" s="39"/>
      <c r="T766" s="39"/>
      <c r="U766" s="39"/>
      <c r="V766" s="39"/>
      <c r="W766" s="60" t="s">
        <v>1735</v>
      </c>
    </row>
    <row r="767" spans="1:23" ht="51" x14ac:dyDescent="0.2">
      <c r="A767" s="1" t="s">
        <v>209</v>
      </c>
      <c r="B767" s="2" t="s">
        <v>10</v>
      </c>
      <c r="C767" s="2" t="s">
        <v>210</v>
      </c>
      <c r="D767" s="2" t="s">
        <v>12</v>
      </c>
      <c r="E767" s="2">
        <v>2021</v>
      </c>
      <c r="F767" s="2" t="s">
        <v>1789</v>
      </c>
      <c r="G767" s="2" t="s">
        <v>1667</v>
      </c>
      <c r="H767" s="2" t="s">
        <v>1669</v>
      </c>
      <c r="I767" s="1" t="s">
        <v>14</v>
      </c>
      <c r="J767" s="1" t="s">
        <v>2721</v>
      </c>
      <c r="L767" s="53"/>
      <c r="M767" s="39"/>
      <c r="N767" s="39"/>
      <c r="O767" s="39"/>
      <c r="P767" s="39"/>
      <c r="Q767" s="39"/>
      <c r="R767" s="39"/>
      <c r="S767" s="39"/>
      <c r="T767" s="39"/>
      <c r="U767" s="39"/>
      <c r="V767" s="39"/>
      <c r="W767" s="60" t="s">
        <v>1735</v>
      </c>
    </row>
    <row r="768" spans="1:23" ht="51" x14ac:dyDescent="0.2">
      <c r="A768" s="1" t="s">
        <v>209</v>
      </c>
      <c r="B768" s="2" t="s">
        <v>10</v>
      </c>
      <c r="C768" s="2" t="s">
        <v>210</v>
      </c>
      <c r="D768" s="2" t="s">
        <v>12</v>
      </c>
      <c r="E768" s="2">
        <v>2021</v>
      </c>
      <c r="F768" s="2" t="s">
        <v>311</v>
      </c>
      <c r="G768" s="2" t="s">
        <v>1667</v>
      </c>
      <c r="H768" s="2" t="s">
        <v>1669</v>
      </c>
      <c r="I768" s="1" t="s">
        <v>14</v>
      </c>
      <c r="J768" s="1" t="s">
        <v>2722</v>
      </c>
      <c r="L768" s="53"/>
      <c r="M768" s="39"/>
      <c r="N768" s="39"/>
      <c r="O768" s="39"/>
      <c r="P768" s="39"/>
      <c r="Q768" s="39"/>
      <c r="R768" s="39"/>
      <c r="S768" s="39"/>
      <c r="T768" s="39"/>
      <c r="U768" s="39"/>
      <c r="V768" s="39"/>
      <c r="W768" s="60" t="s">
        <v>1735</v>
      </c>
    </row>
    <row r="769" spans="1:23" ht="38.25" x14ac:dyDescent="0.2">
      <c r="A769" s="1" t="s">
        <v>209</v>
      </c>
      <c r="B769" s="2" t="s">
        <v>10</v>
      </c>
      <c r="C769" s="2" t="s">
        <v>210</v>
      </c>
      <c r="D769" s="2" t="s">
        <v>12</v>
      </c>
      <c r="E769" s="2">
        <v>2021</v>
      </c>
      <c r="F769" s="2" t="s">
        <v>1796</v>
      </c>
      <c r="G769" s="2" t="s">
        <v>1667</v>
      </c>
      <c r="H769" s="2" t="s">
        <v>1669</v>
      </c>
      <c r="I769" s="1" t="s">
        <v>14</v>
      </c>
      <c r="J769" s="1" t="s">
        <v>2723</v>
      </c>
      <c r="L769" s="53"/>
      <c r="M769" s="39"/>
      <c r="N769" s="39"/>
      <c r="O769" s="39"/>
      <c r="P769" s="39"/>
      <c r="Q769" s="39"/>
      <c r="R769" s="39"/>
      <c r="S769" s="39"/>
      <c r="T769" s="39"/>
      <c r="U769" s="39"/>
      <c r="V769" s="39"/>
      <c r="W769" s="60" t="s">
        <v>1735</v>
      </c>
    </row>
    <row r="770" spans="1:23" ht="51" x14ac:dyDescent="0.2">
      <c r="A770" s="1" t="s">
        <v>156</v>
      </c>
      <c r="B770" s="2" t="s">
        <v>48</v>
      </c>
      <c r="C770" s="2" t="s">
        <v>157</v>
      </c>
      <c r="D770" s="2" t="s">
        <v>158</v>
      </c>
      <c r="E770" s="2">
        <v>2021</v>
      </c>
      <c r="F770" s="2" t="s">
        <v>1776</v>
      </c>
      <c r="G770" s="2" t="s">
        <v>1667</v>
      </c>
      <c r="H770" s="2" t="s">
        <v>1669</v>
      </c>
      <c r="I770" s="1" t="s">
        <v>14</v>
      </c>
      <c r="J770" s="1" t="s">
        <v>2724</v>
      </c>
      <c r="L770" s="53">
        <v>0.114</v>
      </c>
      <c r="M770" s="39"/>
      <c r="N770" s="39"/>
      <c r="O770" s="39"/>
      <c r="P770" s="39"/>
      <c r="Q770" s="39"/>
      <c r="R770" s="39"/>
      <c r="S770" s="39">
        <v>38.47</v>
      </c>
      <c r="T770" s="39"/>
      <c r="U770" s="39"/>
      <c r="V770" s="39"/>
      <c r="W770" s="60" t="s">
        <v>3089</v>
      </c>
    </row>
    <row r="771" spans="1:23" ht="25.5" x14ac:dyDescent="0.2">
      <c r="A771" s="1" t="s">
        <v>156</v>
      </c>
      <c r="B771" s="2" t="s">
        <v>48</v>
      </c>
      <c r="C771" s="2" t="s">
        <v>157</v>
      </c>
      <c r="D771" s="2" t="s">
        <v>158</v>
      </c>
      <c r="E771" s="2">
        <v>2021</v>
      </c>
      <c r="F771" s="2" t="s">
        <v>1779</v>
      </c>
      <c r="G771" s="2" t="s">
        <v>1667</v>
      </c>
      <c r="H771" s="2" t="s">
        <v>1669</v>
      </c>
      <c r="I771" s="1" t="s">
        <v>14</v>
      </c>
      <c r="J771" s="1" t="s">
        <v>2725</v>
      </c>
      <c r="L771" s="53">
        <v>0.113</v>
      </c>
      <c r="M771" s="39"/>
      <c r="N771" s="39"/>
      <c r="O771" s="39"/>
      <c r="P771" s="39"/>
      <c r="Q771" s="39"/>
      <c r="R771" s="39"/>
      <c r="S771" s="39">
        <v>16.79</v>
      </c>
      <c r="T771" s="39"/>
      <c r="U771" s="39"/>
      <c r="V771" s="39"/>
      <c r="W771" s="60" t="s">
        <v>1737</v>
      </c>
    </row>
    <row r="772" spans="1:23" ht="25.5" x14ac:dyDescent="0.2">
      <c r="A772" s="1" t="s">
        <v>156</v>
      </c>
      <c r="B772" s="2" t="s">
        <v>48</v>
      </c>
      <c r="C772" s="2" t="s">
        <v>157</v>
      </c>
      <c r="D772" s="2" t="s">
        <v>158</v>
      </c>
      <c r="E772" s="2">
        <v>2021</v>
      </c>
      <c r="F772" s="2" t="s">
        <v>1781</v>
      </c>
      <c r="G772" s="2" t="s">
        <v>1667</v>
      </c>
      <c r="H772" s="2" t="s">
        <v>1669</v>
      </c>
      <c r="I772" s="1" t="s">
        <v>14</v>
      </c>
      <c r="J772" s="1" t="s">
        <v>2726</v>
      </c>
      <c r="L772" s="53">
        <v>0.113</v>
      </c>
      <c r="M772" s="39"/>
      <c r="N772" s="39"/>
      <c r="O772" s="39"/>
      <c r="P772" s="39"/>
      <c r="Q772" s="39"/>
      <c r="R772" s="39"/>
      <c r="S772" s="39">
        <v>35.909999999999997</v>
      </c>
      <c r="T772" s="39"/>
      <c r="U772" s="39"/>
      <c r="V772" s="39"/>
      <c r="W772" s="60" t="s">
        <v>1737</v>
      </c>
    </row>
    <row r="773" spans="1:23" ht="25.5" x14ac:dyDescent="0.2">
      <c r="A773" s="1" t="s">
        <v>156</v>
      </c>
      <c r="B773" s="2" t="s">
        <v>48</v>
      </c>
      <c r="C773" s="2" t="s">
        <v>157</v>
      </c>
      <c r="D773" s="2" t="s">
        <v>158</v>
      </c>
      <c r="E773" s="2">
        <v>2021</v>
      </c>
      <c r="F773" s="2" t="s">
        <v>1783</v>
      </c>
      <c r="G773" s="2" t="s">
        <v>1667</v>
      </c>
      <c r="H773" s="2" t="s">
        <v>1669</v>
      </c>
      <c r="I773" s="1" t="s">
        <v>14</v>
      </c>
      <c r="J773" s="1" t="s">
        <v>2727</v>
      </c>
      <c r="L773" s="53">
        <v>0.113</v>
      </c>
      <c r="M773" s="39"/>
      <c r="N773" s="39"/>
      <c r="O773" s="39"/>
      <c r="P773" s="39"/>
      <c r="Q773" s="39"/>
      <c r="R773" s="39"/>
      <c r="S773" s="39">
        <v>47.69</v>
      </c>
      <c r="T773" s="39"/>
      <c r="U773" s="39"/>
      <c r="V773" s="39"/>
      <c r="W773" s="60" t="s">
        <v>1737</v>
      </c>
    </row>
    <row r="774" spans="1:23" ht="25.5" x14ac:dyDescent="0.2">
      <c r="A774" s="1" t="s">
        <v>156</v>
      </c>
      <c r="B774" s="2" t="s">
        <v>48</v>
      </c>
      <c r="C774" s="2" t="s">
        <v>157</v>
      </c>
      <c r="D774" s="2" t="s">
        <v>158</v>
      </c>
      <c r="E774" s="2">
        <v>2021</v>
      </c>
      <c r="F774" s="2" t="s">
        <v>1785</v>
      </c>
      <c r="G774" s="2" t="s">
        <v>1667</v>
      </c>
      <c r="H774" s="2" t="s">
        <v>1669</v>
      </c>
      <c r="I774" s="1" t="s">
        <v>14</v>
      </c>
      <c r="J774" s="1" t="s">
        <v>2728</v>
      </c>
      <c r="L774" s="53">
        <v>0.113</v>
      </c>
      <c r="M774" s="39"/>
      <c r="N774" s="39"/>
      <c r="O774" s="39"/>
      <c r="P774" s="39"/>
      <c r="Q774" s="39"/>
      <c r="R774" s="39"/>
      <c r="S774" s="39">
        <v>33.479999999999997</v>
      </c>
      <c r="T774" s="39"/>
      <c r="U774" s="39"/>
      <c r="V774" s="39"/>
      <c r="W774" s="60" t="s">
        <v>1737</v>
      </c>
    </row>
    <row r="775" spans="1:23" ht="25.5" x14ac:dyDescent="0.2">
      <c r="A775" s="1" t="s">
        <v>156</v>
      </c>
      <c r="B775" s="2" t="s">
        <v>48</v>
      </c>
      <c r="C775" s="2" t="s">
        <v>157</v>
      </c>
      <c r="D775" s="2" t="s">
        <v>158</v>
      </c>
      <c r="E775" s="2">
        <v>2021</v>
      </c>
      <c r="F775" s="2" t="s">
        <v>1787</v>
      </c>
      <c r="G775" s="2" t="s">
        <v>1667</v>
      </c>
      <c r="H775" s="2" t="s">
        <v>1669</v>
      </c>
      <c r="I775" s="1" t="s">
        <v>14</v>
      </c>
      <c r="J775" s="1" t="s">
        <v>2729</v>
      </c>
      <c r="L775" s="53">
        <v>0.113</v>
      </c>
      <c r="M775" s="39"/>
      <c r="N775" s="39"/>
      <c r="O775" s="39"/>
      <c r="P775" s="39"/>
      <c r="Q775" s="39"/>
      <c r="R775" s="39"/>
      <c r="S775" s="39">
        <v>48.41</v>
      </c>
      <c r="T775" s="39"/>
      <c r="U775" s="39"/>
      <c r="V775" s="39"/>
      <c r="W775" s="60" t="s">
        <v>1737</v>
      </c>
    </row>
    <row r="776" spans="1:23" ht="25.5" x14ac:dyDescent="0.2">
      <c r="A776" s="1" t="s">
        <v>156</v>
      </c>
      <c r="B776" s="2" t="s">
        <v>48</v>
      </c>
      <c r="C776" s="2" t="s">
        <v>157</v>
      </c>
      <c r="D776" s="2" t="s">
        <v>158</v>
      </c>
      <c r="E776" s="2">
        <v>2021</v>
      </c>
      <c r="F776" s="2" t="s">
        <v>1789</v>
      </c>
      <c r="G776" s="2" t="s">
        <v>1667</v>
      </c>
      <c r="H776" s="2" t="s">
        <v>1669</v>
      </c>
      <c r="I776" s="1" t="s">
        <v>14</v>
      </c>
      <c r="J776" s="1" t="s">
        <v>2730</v>
      </c>
      <c r="L776" s="53">
        <v>0.13300000000000001</v>
      </c>
      <c r="M776" s="39"/>
      <c r="N776" s="39"/>
      <c r="O776" s="39"/>
      <c r="P776" s="39"/>
      <c r="Q776" s="39"/>
      <c r="R776" s="39"/>
      <c r="S776" s="39">
        <v>50.28</v>
      </c>
      <c r="T776" s="39"/>
      <c r="U776" s="39"/>
      <c r="V776" s="39"/>
      <c r="W776" s="60" t="s">
        <v>1737</v>
      </c>
    </row>
    <row r="777" spans="1:23" ht="25.5" x14ac:dyDescent="0.2">
      <c r="A777" s="1" t="s">
        <v>156</v>
      </c>
      <c r="B777" s="2" t="s">
        <v>48</v>
      </c>
      <c r="C777" s="2" t="s">
        <v>157</v>
      </c>
      <c r="D777" s="2" t="s">
        <v>158</v>
      </c>
      <c r="E777" s="2">
        <v>2021</v>
      </c>
      <c r="F777" s="2" t="s">
        <v>1791</v>
      </c>
      <c r="G777" s="2" t="s">
        <v>1667</v>
      </c>
      <c r="H777" s="2" t="s">
        <v>1669</v>
      </c>
      <c r="I777" s="1" t="s">
        <v>14</v>
      </c>
      <c r="J777" s="1" t="s">
        <v>2731</v>
      </c>
      <c r="L777" s="53">
        <v>0.13300000000000001</v>
      </c>
      <c r="M777" s="39"/>
      <c r="N777" s="39"/>
      <c r="O777" s="39"/>
      <c r="P777" s="39"/>
      <c r="Q777" s="39"/>
      <c r="R777" s="39"/>
      <c r="S777" s="39">
        <v>37</v>
      </c>
      <c r="T777" s="39"/>
      <c r="U777" s="39"/>
      <c r="V777" s="39"/>
      <c r="W777" s="60" t="s">
        <v>1737</v>
      </c>
    </row>
    <row r="778" spans="1:23" ht="25.5" x14ac:dyDescent="0.2">
      <c r="A778" s="1" t="s">
        <v>156</v>
      </c>
      <c r="B778" s="2" t="s">
        <v>48</v>
      </c>
      <c r="C778" s="2" t="s">
        <v>157</v>
      </c>
      <c r="D778" s="2" t="s">
        <v>158</v>
      </c>
      <c r="E778" s="2">
        <v>2021</v>
      </c>
      <c r="F778" s="2" t="s">
        <v>311</v>
      </c>
      <c r="G778" s="2" t="s">
        <v>1667</v>
      </c>
      <c r="H778" s="2" t="s">
        <v>1669</v>
      </c>
      <c r="I778" s="1" t="s">
        <v>14</v>
      </c>
      <c r="J778" s="1" t="s">
        <v>2732</v>
      </c>
      <c r="L778" s="53">
        <v>0.13300000000000001</v>
      </c>
      <c r="M778" s="39"/>
      <c r="N778" s="39"/>
      <c r="O778" s="39"/>
      <c r="P778" s="39"/>
      <c r="Q778" s="39"/>
      <c r="R778" s="39"/>
      <c r="S778" s="39">
        <v>47.09</v>
      </c>
      <c r="T778" s="39"/>
      <c r="U778" s="39"/>
      <c r="V778" s="39"/>
      <c r="W778" s="60" t="s">
        <v>1737</v>
      </c>
    </row>
    <row r="779" spans="1:23" ht="25.5" x14ac:dyDescent="0.2">
      <c r="A779" s="1" t="s">
        <v>156</v>
      </c>
      <c r="B779" s="2" t="s">
        <v>48</v>
      </c>
      <c r="C779" s="2" t="s">
        <v>157</v>
      </c>
      <c r="D779" s="2" t="s">
        <v>158</v>
      </c>
      <c r="E779" s="2">
        <v>2021</v>
      </c>
      <c r="F779" s="2" t="s">
        <v>1794</v>
      </c>
      <c r="G779" s="2" t="s">
        <v>1667</v>
      </c>
      <c r="H779" s="2" t="s">
        <v>1669</v>
      </c>
      <c r="I779" s="1" t="s">
        <v>14</v>
      </c>
      <c r="J779" s="1" t="s">
        <v>2733</v>
      </c>
      <c r="L779" s="53">
        <v>0.13300000000000001</v>
      </c>
      <c r="M779" s="39"/>
      <c r="N779" s="39"/>
      <c r="O779" s="39"/>
      <c r="P779" s="39"/>
      <c r="Q779" s="39"/>
      <c r="R779" s="39"/>
      <c r="S779" s="39">
        <v>45.1</v>
      </c>
      <c r="T779" s="39"/>
      <c r="U779" s="39"/>
      <c r="V779" s="39"/>
      <c r="W779" s="60" t="s">
        <v>1737</v>
      </c>
    </row>
    <row r="780" spans="1:23" ht="25.5" x14ac:dyDescent="0.2">
      <c r="A780" s="1" t="s">
        <v>156</v>
      </c>
      <c r="B780" s="2" t="s">
        <v>48</v>
      </c>
      <c r="C780" s="2" t="s">
        <v>157</v>
      </c>
      <c r="D780" s="2" t="s">
        <v>158</v>
      </c>
      <c r="E780" s="2">
        <v>2021</v>
      </c>
      <c r="F780" s="2" t="s">
        <v>1796</v>
      </c>
      <c r="G780" s="2" t="s">
        <v>1667</v>
      </c>
      <c r="H780" s="2" t="s">
        <v>1669</v>
      </c>
      <c r="I780" s="1" t="s">
        <v>14</v>
      </c>
      <c r="J780" s="1" t="s">
        <v>2734</v>
      </c>
      <c r="L780" s="53">
        <v>0.13300000000000001</v>
      </c>
      <c r="M780" s="39"/>
      <c r="N780" s="39"/>
      <c r="O780" s="39"/>
      <c r="P780" s="39"/>
      <c r="Q780" s="39"/>
      <c r="R780" s="39"/>
      <c r="S780" s="39">
        <v>37.35</v>
      </c>
      <c r="T780" s="39"/>
      <c r="U780" s="39"/>
      <c r="V780" s="39"/>
      <c r="W780" s="60" t="s">
        <v>1737</v>
      </c>
    </row>
    <row r="781" spans="1:23" ht="25.5" x14ac:dyDescent="0.2">
      <c r="A781" s="1" t="s">
        <v>156</v>
      </c>
      <c r="B781" s="2" t="s">
        <v>48</v>
      </c>
      <c r="C781" s="2" t="s">
        <v>157</v>
      </c>
      <c r="D781" s="2" t="s">
        <v>158</v>
      </c>
      <c r="E781" s="2">
        <v>2021</v>
      </c>
      <c r="F781" s="2" t="s">
        <v>1798</v>
      </c>
      <c r="G781" s="2" t="s">
        <v>1667</v>
      </c>
      <c r="H781" s="2" t="s">
        <v>1669</v>
      </c>
      <c r="I781" s="1" t="s">
        <v>14</v>
      </c>
      <c r="J781" s="1" t="s">
        <v>2735</v>
      </c>
      <c r="L781" s="53">
        <v>0.13300000000000001</v>
      </c>
      <c r="M781" s="39"/>
      <c r="N781" s="39"/>
      <c r="O781" s="39"/>
      <c r="P781" s="39"/>
      <c r="Q781" s="39"/>
      <c r="R781" s="39"/>
      <c r="S781" s="39">
        <v>34.93</v>
      </c>
      <c r="T781" s="39"/>
      <c r="U781" s="39"/>
      <c r="V781" s="39"/>
      <c r="W781" s="60" t="s">
        <v>1737</v>
      </c>
    </row>
    <row r="782" spans="1:23" ht="76.5" x14ac:dyDescent="0.2">
      <c r="A782" s="1" t="s">
        <v>2736</v>
      </c>
      <c r="B782" s="2" t="s">
        <v>196</v>
      </c>
      <c r="C782" s="2" t="s">
        <v>2737</v>
      </c>
      <c r="D782" s="2" t="s">
        <v>88</v>
      </c>
      <c r="E782" s="2">
        <v>2021</v>
      </c>
      <c r="F782" s="2" t="s">
        <v>1785</v>
      </c>
      <c r="G782" s="2" t="s">
        <v>1668</v>
      </c>
      <c r="H782" s="2" t="s">
        <v>1669</v>
      </c>
      <c r="I782" s="1" t="s">
        <v>14</v>
      </c>
      <c r="J782" s="1" t="s">
        <v>2738</v>
      </c>
      <c r="L782" s="53">
        <v>0.32500000000000001</v>
      </c>
      <c r="M782" s="39"/>
      <c r="N782" s="39"/>
      <c r="O782" s="39">
        <v>277.5</v>
      </c>
      <c r="P782" s="39">
        <v>322.2</v>
      </c>
      <c r="Q782" s="39"/>
      <c r="R782" s="39"/>
      <c r="S782" s="39"/>
      <c r="T782" s="39"/>
      <c r="U782" s="39"/>
      <c r="V782" s="39"/>
      <c r="W782" s="60" t="s">
        <v>1737</v>
      </c>
    </row>
    <row r="783" spans="1:23" ht="191.25" x14ac:dyDescent="0.2">
      <c r="A783" s="1" t="s">
        <v>2739</v>
      </c>
      <c r="B783" s="2" t="s">
        <v>196</v>
      </c>
      <c r="C783" s="2" t="s">
        <v>2740</v>
      </c>
      <c r="D783" s="2" t="s">
        <v>33</v>
      </c>
      <c r="E783" s="2">
        <v>2021</v>
      </c>
      <c r="F783" s="2" t="s">
        <v>1787</v>
      </c>
      <c r="G783" s="2" t="s">
        <v>1669</v>
      </c>
      <c r="H783" s="2" t="s">
        <v>1669</v>
      </c>
      <c r="I783" s="1" t="s">
        <v>2741</v>
      </c>
      <c r="J783" s="1" t="s">
        <v>2742</v>
      </c>
      <c r="L783" s="53">
        <v>0.2576</v>
      </c>
      <c r="M783" s="39"/>
      <c r="N783" s="39"/>
      <c r="O783" s="39">
        <v>1258</v>
      </c>
      <c r="P783" s="39"/>
      <c r="Q783" s="39"/>
      <c r="R783" s="39"/>
      <c r="S783" s="39"/>
      <c r="T783" s="39"/>
      <c r="U783" s="39"/>
      <c r="V783" s="39"/>
      <c r="W783" s="60"/>
    </row>
    <row r="784" spans="1:23" ht="25.5" x14ac:dyDescent="0.2">
      <c r="A784" s="1" t="s">
        <v>2739</v>
      </c>
      <c r="B784" s="2" t="s">
        <v>196</v>
      </c>
      <c r="C784" s="2" t="s">
        <v>2740</v>
      </c>
      <c r="D784" s="2" t="s">
        <v>33</v>
      </c>
      <c r="E784" s="2">
        <v>2021</v>
      </c>
      <c r="F784" s="2" t="s">
        <v>1789</v>
      </c>
      <c r="G784" s="2" t="s">
        <v>1669</v>
      </c>
      <c r="H784" s="2" t="s">
        <v>1669</v>
      </c>
      <c r="I784" s="1" t="s">
        <v>2743</v>
      </c>
      <c r="J784" s="1" t="s">
        <v>2743</v>
      </c>
      <c r="L784" s="53"/>
      <c r="M784" s="39"/>
      <c r="N784" s="39"/>
      <c r="O784" s="39"/>
      <c r="P784" s="39"/>
      <c r="Q784" s="39"/>
      <c r="R784" s="39"/>
      <c r="S784" s="39"/>
      <c r="T784" s="39"/>
      <c r="U784" s="39"/>
      <c r="V784" s="39"/>
      <c r="W784" s="60"/>
    </row>
    <row r="785" spans="1:23" ht="38.25" x14ac:dyDescent="0.2">
      <c r="A785" s="1" t="s">
        <v>2744</v>
      </c>
      <c r="B785" s="2" t="s">
        <v>196</v>
      </c>
      <c r="C785" s="2" t="s">
        <v>2745</v>
      </c>
      <c r="D785" s="2" t="s">
        <v>33</v>
      </c>
      <c r="E785" s="2">
        <v>2021</v>
      </c>
      <c r="F785" s="2" t="s">
        <v>1785</v>
      </c>
      <c r="G785" s="2" t="s">
        <v>1669</v>
      </c>
      <c r="H785" s="2" t="s">
        <v>1669</v>
      </c>
      <c r="I785" s="1" t="s">
        <v>2746</v>
      </c>
      <c r="J785" s="1" t="s">
        <v>2746</v>
      </c>
      <c r="L785" s="53"/>
      <c r="M785" s="39"/>
      <c r="N785" s="39"/>
      <c r="O785" s="39"/>
      <c r="P785" s="39"/>
      <c r="Q785" s="39"/>
      <c r="R785" s="39"/>
      <c r="S785" s="39"/>
      <c r="T785" s="39"/>
      <c r="U785" s="39"/>
      <c r="V785" s="39"/>
      <c r="W785" s="60" t="s">
        <v>1683</v>
      </c>
    </row>
    <row r="786" spans="1:23" ht="38.25" x14ac:dyDescent="0.2">
      <c r="A786" s="1" t="s">
        <v>2744</v>
      </c>
      <c r="B786" s="2" t="s">
        <v>196</v>
      </c>
      <c r="C786" s="2" t="s">
        <v>2745</v>
      </c>
      <c r="D786" s="2" t="s">
        <v>33</v>
      </c>
      <c r="E786" s="2">
        <v>2021</v>
      </c>
      <c r="F786" s="2" t="s">
        <v>1787</v>
      </c>
      <c r="G786" s="2" t="s">
        <v>1669</v>
      </c>
      <c r="H786" s="2" t="s">
        <v>1669</v>
      </c>
      <c r="I786" s="1" t="s">
        <v>2746</v>
      </c>
      <c r="J786" s="1" t="s">
        <v>2747</v>
      </c>
      <c r="L786" s="53"/>
      <c r="M786" s="39"/>
      <c r="N786" s="39"/>
      <c r="O786" s="39"/>
      <c r="P786" s="39"/>
      <c r="Q786" s="39"/>
      <c r="R786" s="39"/>
      <c r="S786" s="39"/>
      <c r="T786" s="39"/>
      <c r="U786" s="39"/>
      <c r="V786" s="39"/>
      <c r="W786" s="60" t="s">
        <v>1683</v>
      </c>
    </row>
    <row r="787" spans="1:23" ht="63.75" x14ac:dyDescent="0.2">
      <c r="A787" s="1" t="s">
        <v>2748</v>
      </c>
      <c r="B787" s="2" t="s">
        <v>196</v>
      </c>
      <c r="C787" s="2" t="s">
        <v>2749</v>
      </c>
      <c r="D787" s="2" t="s">
        <v>239</v>
      </c>
      <c r="E787" s="2">
        <v>2021</v>
      </c>
      <c r="F787" s="2" t="s">
        <v>1787</v>
      </c>
      <c r="G787" s="2" t="s">
        <v>1669</v>
      </c>
      <c r="H787" s="2" t="s">
        <v>1668</v>
      </c>
      <c r="I787" s="1" t="s">
        <v>2750</v>
      </c>
      <c r="J787" s="1" t="s">
        <v>14</v>
      </c>
      <c r="L787" s="53"/>
      <c r="M787" s="39"/>
      <c r="N787" s="39"/>
      <c r="O787" s="39"/>
      <c r="P787" s="39"/>
      <c r="Q787" s="39"/>
      <c r="R787" s="39"/>
      <c r="S787" s="39"/>
      <c r="T787" s="39"/>
      <c r="U787" s="39"/>
      <c r="V787" s="39"/>
      <c r="W787" s="60" t="s">
        <v>1693</v>
      </c>
    </row>
    <row r="788" spans="1:23" ht="25.5" x14ac:dyDescent="0.2">
      <c r="A788" s="1" t="s">
        <v>193</v>
      </c>
      <c r="B788" s="2" t="s">
        <v>194</v>
      </c>
      <c r="C788" s="2" t="s">
        <v>195</v>
      </c>
      <c r="D788" s="2" t="s">
        <v>92</v>
      </c>
      <c r="E788" s="2">
        <v>2021</v>
      </c>
      <c r="F788" s="2" t="s">
        <v>1776</v>
      </c>
      <c r="G788" s="2" t="s">
        <v>1667</v>
      </c>
      <c r="H788" s="2" t="s">
        <v>1669</v>
      </c>
      <c r="I788" s="1" t="s">
        <v>14</v>
      </c>
      <c r="J788" s="1" t="s">
        <v>2751</v>
      </c>
      <c r="L788" s="53" t="s">
        <v>1670</v>
      </c>
      <c r="M788" s="39"/>
      <c r="N788" s="39"/>
      <c r="O788" s="39">
        <v>64.73</v>
      </c>
      <c r="P788" s="39"/>
      <c r="Q788" s="39"/>
      <c r="R788" s="39"/>
      <c r="S788" s="39"/>
      <c r="T788" s="39"/>
      <c r="U788" s="39"/>
      <c r="V788" s="39"/>
      <c r="W788" s="60" t="s">
        <v>1699</v>
      </c>
    </row>
    <row r="789" spans="1:23" ht="25.5" x14ac:dyDescent="0.2">
      <c r="A789" s="1" t="s">
        <v>193</v>
      </c>
      <c r="B789" s="2" t="s">
        <v>194</v>
      </c>
      <c r="C789" s="2" t="s">
        <v>195</v>
      </c>
      <c r="D789" s="2" t="s">
        <v>92</v>
      </c>
      <c r="E789" s="2">
        <v>2021</v>
      </c>
      <c r="F789" s="2" t="s">
        <v>1781</v>
      </c>
      <c r="G789" s="2" t="s">
        <v>1667</v>
      </c>
      <c r="H789" s="2" t="s">
        <v>1669</v>
      </c>
      <c r="I789" s="1" t="s">
        <v>14</v>
      </c>
      <c r="J789" s="1" t="s">
        <v>2752</v>
      </c>
      <c r="L789" s="53" t="s">
        <v>1670</v>
      </c>
      <c r="M789" s="39"/>
      <c r="N789" s="39"/>
      <c r="O789" s="39">
        <v>65.209999999999994</v>
      </c>
      <c r="P789" s="39"/>
      <c r="Q789" s="39"/>
      <c r="R789" s="39"/>
      <c r="S789" s="39"/>
      <c r="T789" s="39"/>
      <c r="U789" s="39"/>
      <c r="V789" s="39"/>
      <c r="W789" s="60" t="s">
        <v>1699</v>
      </c>
    </row>
    <row r="790" spans="1:23" ht="25.5" x14ac:dyDescent="0.2">
      <c r="A790" s="1" t="s">
        <v>193</v>
      </c>
      <c r="B790" s="2" t="s">
        <v>194</v>
      </c>
      <c r="C790" s="2" t="s">
        <v>195</v>
      </c>
      <c r="D790" s="2" t="s">
        <v>92</v>
      </c>
      <c r="E790" s="2">
        <v>2021</v>
      </c>
      <c r="F790" s="2" t="s">
        <v>1783</v>
      </c>
      <c r="G790" s="2" t="s">
        <v>1667</v>
      </c>
      <c r="H790" s="2" t="s">
        <v>1669</v>
      </c>
      <c r="I790" s="1" t="s">
        <v>14</v>
      </c>
      <c r="J790" s="1" t="s">
        <v>2753</v>
      </c>
      <c r="L790" s="53" t="s">
        <v>1670</v>
      </c>
      <c r="M790" s="39"/>
      <c r="N790" s="39"/>
      <c r="O790" s="39">
        <v>63.91</v>
      </c>
      <c r="P790" s="39"/>
      <c r="Q790" s="39"/>
      <c r="R790" s="39"/>
      <c r="S790" s="39"/>
      <c r="T790" s="39"/>
      <c r="U790" s="39"/>
      <c r="V790" s="39"/>
      <c r="W790" s="60" t="s">
        <v>1699</v>
      </c>
    </row>
    <row r="791" spans="1:23" ht="25.5" x14ac:dyDescent="0.2">
      <c r="A791" s="1" t="s">
        <v>193</v>
      </c>
      <c r="B791" s="2" t="s">
        <v>194</v>
      </c>
      <c r="C791" s="2" t="s">
        <v>195</v>
      </c>
      <c r="D791" s="2" t="s">
        <v>92</v>
      </c>
      <c r="E791" s="2">
        <v>2021</v>
      </c>
      <c r="F791" s="2" t="s">
        <v>1787</v>
      </c>
      <c r="G791" s="2" t="s">
        <v>1667</v>
      </c>
      <c r="H791" s="2" t="s">
        <v>1669</v>
      </c>
      <c r="I791" s="1" t="s">
        <v>14</v>
      </c>
      <c r="J791" s="1" t="s">
        <v>2754</v>
      </c>
      <c r="L791" s="53" t="s">
        <v>1670</v>
      </c>
      <c r="M791" s="39"/>
      <c r="N791" s="39"/>
      <c r="O791" s="39">
        <v>69.5</v>
      </c>
      <c r="P791" s="39"/>
      <c r="Q791" s="39"/>
      <c r="R791" s="39"/>
      <c r="S791" s="39"/>
      <c r="T791" s="39"/>
      <c r="U791" s="39"/>
      <c r="V791" s="39"/>
      <c r="W791" s="60" t="s">
        <v>1699</v>
      </c>
    </row>
    <row r="792" spans="1:23" ht="25.5" x14ac:dyDescent="0.2">
      <c r="A792" s="1" t="s">
        <v>193</v>
      </c>
      <c r="B792" s="2" t="s">
        <v>194</v>
      </c>
      <c r="C792" s="2" t="s">
        <v>195</v>
      </c>
      <c r="D792" s="2" t="s">
        <v>92</v>
      </c>
      <c r="E792" s="2">
        <v>2021</v>
      </c>
      <c r="F792" s="2" t="s">
        <v>1789</v>
      </c>
      <c r="G792" s="2" t="s">
        <v>1667</v>
      </c>
      <c r="H792" s="2" t="s">
        <v>1669</v>
      </c>
      <c r="I792" s="1" t="s">
        <v>14</v>
      </c>
      <c r="J792" s="1" t="s">
        <v>2755</v>
      </c>
      <c r="L792" s="53" t="s">
        <v>1670</v>
      </c>
      <c r="M792" s="39"/>
      <c r="N792" s="39"/>
      <c r="O792" s="39">
        <v>65.17</v>
      </c>
      <c r="P792" s="39"/>
      <c r="Q792" s="39"/>
      <c r="R792" s="39"/>
      <c r="S792" s="39"/>
      <c r="T792" s="39"/>
      <c r="U792" s="39"/>
      <c r="V792" s="39"/>
      <c r="W792" s="60" t="s">
        <v>1699</v>
      </c>
    </row>
    <row r="793" spans="1:23" ht="25.5" x14ac:dyDescent="0.2">
      <c r="A793" s="1" t="s">
        <v>193</v>
      </c>
      <c r="B793" s="2" t="s">
        <v>194</v>
      </c>
      <c r="C793" s="2" t="s">
        <v>195</v>
      </c>
      <c r="D793" s="2" t="s">
        <v>92</v>
      </c>
      <c r="E793" s="2">
        <v>2021</v>
      </c>
      <c r="F793" s="2" t="s">
        <v>311</v>
      </c>
      <c r="G793" s="2" t="s">
        <v>1667</v>
      </c>
      <c r="H793" s="2" t="s">
        <v>1669</v>
      </c>
      <c r="I793" s="1" t="s">
        <v>14</v>
      </c>
      <c r="J793" s="1" t="s">
        <v>2756</v>
      </c>
      <c r="L793" s="53" t="s">
        <v>1670</v>
      </c>
      <c r="M793" s="39"/>
      <c r="N793" s="39"/>
      <c r="O793" s="39">
        <v>63.8</v>
      </c>
      <c r="P793" s="39"/>
      <c r="Q793" s="39"/>
      <c r="R793" s="39"/>
      <c r="S793" s="39"/>
      <c r="T793" s="39"/>
      <c r="U793" s="39"/>
      <c r="V793" s="39"/>
      <c r="W793" s="60" t="s">
        <v>1699</v>
      </c>
    </row>
    <row r="794" spans="1:23" ht="25.5" x14ac:dyDescent="0.2">
      <c r="A794" s="1" t="s">
        <v>193</v>
      </c>
      <c r="B794" s="2" t="s">
        <v>194</v>
      </c>
      <c r="C794" s="2" t="s">
        <v>195</v>
      </c>
      <c r="D794" s="2" t="s">
        <v>92</v>
      </c>
      <c r="E794" s="2">
        <v>2021</v>
      </c>
      <c r="F794" s="2" t="s">
        <v>1794</v>
      </c>
      <c r="G794" s="2" t="s">
        <v>1667</v>
      </c>
      <c r="H794" s="2" t="s">
        <v>1669</v>
      </c>
      <c r="I794" s="1" t="s">
        <v>14</v>
      </c>
      <c r="J794" s="1" t="s">
        <v>2757</v>
      </c>
      <c r="L794" s="53" t="s">
        <v>1670</v>
      </c>
      <c r="M794" s="39"/>
      <c r="N794" s="39"/>
      <c r="O794" s="39">
        <v>59.58</v>
      </c>
      <c r="P794" s="39"/>
      <c r="Q794" s="39"/>
      <c r="R794" s="39"/>
      <c r="S794" s="39"/>
      <c r="T794" s="39"/>
      <c r="U794" s="39"/>
      <c r="V794" s="39"/>
      <c r="W794" s="60" t="s">
        <v>1699</v>
      </c>
    </row>
    <row r="795" spans="1:23" ht="25.5" x14ac:dyDescent="0.2">
      <c r="A795" s="1" t="s">
        <v>193</v>
      </c>
      <c r="B795" s="2" t="s">
        <v>194</v>
      </c>
      <c r="C795" s="2" t="s">
        <v>195</v>
      </c>
      <c r="D795" s="2" t="s">
        <v>92</v>
      </c>
      <c r="E795" s="2">
        <v>2021</v>
      </c>
      <c r="F795" s="2" t="s">
        <v>1798</v>
      </c>
      <c r="G795" s="2" t="s">
        <v>1667</v>
      </c>
      <c r="H795" s="2" t="s">
        <v>1669</v>
      </c>
      <c r="I795" s="1" t="s">
        <v>14</v>
      </c>
      <c r="J795" s="1" t="s">
        <v>2758</v>
      </c>
      <c r="L795" s="53" t="s">
        <v>1670</v>
      </c>
      <c r="M795" s="39"/>
      <c r="N795" s="39"/>
      <c r="O795" s="39">
        <v>63.8</v>
      </c>
      <c r="P795" s="39"/>
      <c r="Q795" s="39"/>
      <c r="R795" s="39"/>
      <c r="S795" s="39"/>
      <c r="T795" s="39"/>
      <c r="U795" s="39"/>
      <c r="V795" s="39"/>
      <c r="W795" s="60" t="s">
        <v>1699</v>
      </c>
    </row>
    <row r="796" spans="1:23" ht="25.5" x14ac:dyDescent="0.2">
      <c r="A796" s="1" t="s">
        <v>133</v>
      </c>
      <c r="B796" s="2" t="s">
        <v>38</v>
      </c>
      <c r="C796" s="2" t="s">
        <v>134</v>
      </c>
      <c r="D796" s="2" t="s">
        <v>85</v>
      </c>
      <c r="E796" s="2">
        <v>2021</v>
      </c>
      <c r="F796" s="2" t="s">
        <v>1776</v>
      </c>
      <c r="G796" s="2" t="s">
        <v>1667</v>
      </c>
      <c r="H796" s="2" t="s">
        <v>1669</v>
      </c>
      <c r="I796" s="1" t="s">
        <v>14</v>
      </c>
      <c r="J796" s="1" t="s">
        <v>2759</v>
      </c>
      <c r="L796" s="53">
        <v>0.17699999999999999</v>
      </c>
      <c r="M796" s="3"/>
      <c r="N796" s="39"/>
      <c r="O796" s="39"/>
      <c r="P796" s="39"/>
      <c r="Q796" s="39"/>
      <c r="R796" s="39"/>
      <c r="S796" s="39">
        <v>32.44</v>
      </c>
      <c r="T796" s="39"/>
      <c r="U796" s="39"/>
      <c r="V796" s="3"/>
      <c r="W796" s="60"/>
    </row>
    <row r="797" spans="1:23" ht="25.5" x14ac:dyDescent="0.2">
      <c r="A797" s="1" t="s">
        <v>133</v>
      </c>
      <c r="B797" s="2" t="s">
        <v>38</v>
      </c>
      <c r="C797" s="2" t="s">
        <v>134</v>
      </c>
      <c r="D797" s="2" t="s">
        <v>85</v>
      </c>
      <c r="E797" s="2">
        <v>2021</v>
      </c>
      <c r="F797" s="2" t="s">
        <v>1779</v>
      </c>
      <c r="G797" s="2" t="s">
        <v>1667</v>
      </c>
      <c r="H797" s="2" t="s">
        <v>1669</v>
      </c>
      <c r="I797" s="1" t="s">
        <v>14</v>
      </c>
      <c r="J797" s="1" t="s">
        <v>2760</v>
      </c>
      <c r="L797" s="53">
        <v>0.161</v>
      </c>
      <c r="M797" s="3"/>
      <c r="N797" s="39"/>
      <c r="O797" s="39"/>
      <c r="P797" s="39"/>
      <c r="Q797" s="39"/>
      <c r="R797" s="39"/>
      <c r="S797" s="39">
        <v>28.99</v>
      </c>
      <c r="T797" s="39"/>
      <c r="U797" s="39"/>
      <c r="V797" s="3"/>
      <c r="W797" s="60"/>
    </row>
    <row r="798" spans="1:23" ht="25.5" x14ac:dyDescent="0.2">
      <c r="A798" s="1" t="s">
        <v>133</v>
      </c>
      <c r="B798" s="2" t="s">
        <v>38</v>
      </c>
      <c r="C798" s="2" t="s">
        <v>134</v>
      </c>
      <c r="D798" s="2" t="s">
        <v>85</v>
      </c>
      <c r="E798" s="2">
        <v>2021</v>
      </c>
      <c r="F798" s="2" t="s">
        <v>1781</v>
      </c>
      <c r="G798" s="2" t="s">
        <v>1667</v>
      </c>
      <c r="H798" s="2" t="s">
        <v>1669</v>
      </c>
      <c r="I798" s="1" t="s">
        <v>14</v>
      </c>
      <c r="J798" s="1" t="s">
        <v>2761</v>
      </c>
      <c r="L798" s="53">
        <v>0.18</v>
      </c>
      <c r="M798" s="3"/>
      <c r="N798" s="39"/>
      <c r="O798" s="39"/>
      <c r="P798" s="39"/>
      <c r="Q798" s="39"/>
      <c r="R798" s="39"/>
      <c r="S798" s="39">
        <v>32.08</v>
      </c>
      <c r="T798" s="39"/>
      <c r="U798" s="39"/>
      <c r="V798" s="3"/>
      <c r="W798" s="60"/>
    </row>
    <row r="799" spans="1:23" ht="25.5" x14ac:dyDescent="0.2">
      <c r="A799" s="1" t="s">
        <v>133</v>
      </c>
      <c r="B799" s="2" t="s">
        <v>38</v>
      </c>
      <c r="C799" s="2" t="s">
        <v>134</v>
      </c>
      <c r="D799" s="2" t="s">
        <v>85</v>
      </c>
      <c r="E799" s="2">
        <v>2021</v>
      </c>
      <c r="F799" s="2" t="s">
        <v>1783</v>
      </c>
      <c r="G799" s="2" t="s">
        <v>1667</v>
      </c>
      <c r="H799" s="2" t="s">
        <v>1669</v>
      </c>
      <c r="I799" s="1" t="s">
        <v>14</v>
      </c>
      <c r="J799" s="1" t="s">
        <v>2762</v>
      </c>
      <c r="L799" s="53">
        <v>0.17399999999999999</v>
      </c>
      <c r="M799" s="3"/>
      <c r="N799" s="39"/>
      <c r="O799" s="39"/>
      <c r="P799" s="39"/>
      <c r="Q799" s="39"/>
      <c r="R799" s="39"/>
      <c r="S799" s="39">
        <v>29.46</v>
      </c>
      <c r="T799" s="39"/>
      <c r="U799" s="39"/>
      <c r="V799" s="3"/>
      <c r="W799" s="60"/>
    </row>
    <row r="800" spans="1:23" ht="25.5" x14ac:dyDescent="0.2">
      <c r="A800" s="1" t="s">
        <v>133</v>
      </c>
      <c r="B800" s="2" t="s">
        <v>38</v>
      </c>
      <c r="C800" s="2" t="s">
        <v>134</v>
      </c>
      <c r="D800" s="2" t="s">
        <v>85</v>
      </c>
      <c r="E800" s="2">
        <v>2021</v>
      </c>
      <c r="F800" s="2" t="s">
        <v>1785</v>
      </c>
      <c r="G800" s="2" t="s">
        <v>1667</v>
      </c>
      <c r="H800" s="2" t="s">
        <v>1669</v>
      </c>
      <c r="I800" s="1" t="s">
        <v>14</v>
      </c>
      <c r="J800" s="1" t="s">
        <v>2763</v>
      </c>
      <c r="L800" s="53">
        <v>0.157</v>
      </c>
      <c r="M800" s="3"/>
      <c r="N800" s="39"/>
      <c r="O800" s="39"/>
      <c r="P800" s="39"/>
      <c r="Q800" s="39"/>
      <c r="R800" s="39"/>
      <c r="S800" s="39">
        <v>17.2</v>
      </c>
      <c r="T800" s="39"/>
      <c r="U800" s="39"/>
      <c r="V800" s="3"/>
      <c r="W800" s="60"/>
    </row>
    <row r="801" spans="1:23" ht="25.5" x14ac:dyDescent="0.2">
      <c r="A801" s="1" t="s">
        <v>133</v>
      </c>
      <c r="B801" s="2" t="s">
        <v>38</v>
      </c>
      <c r="C801" s="2" t="s">
        <v>134</v>
      </c>
      <c r="D801" s="2" t="s">
        <v>85</v>
      </c>
      <c r="E801" s="2">
        <v>2021</v>
      </c>
      <c r="F801" s="2" t="s">
        <v>1787</v>
      </c>
      <c r="G801" s="2" t="s">
        <v>1667</v>
      </c>
      <c r="H801" s="2" t="s">
        <v>1669</v>
      </c>
      <c r="I801" s="1" t="s">
        <v>14</v>
      </c>
      <c r="J801" s="1" t="s">
        <v>2764</v>
      </c>
      <c r="L801" s="53">
        <v>0.156</v>
      </c>
      <c r="M801" s="3"/>
      <c r="N801" s="39"/>
      <c r="O801" s="39"/>
      <c r="P801" s="39"/>
      <c r="Q801" s="39"/>
      <c r="R801" s="39"/>
      <c r="S801" s="39">
        <v>32.61</v>
      </c>
      <c r="T801" s="39"/>
      <c r="U801" s="39"/>
      <c r="V801" s="3"/>
      <c r="W801" s="60"/>
    </row>
    <row r="802" spans="1:23" ht="25.5" x14ac:dyDescent="0.2">
      <c r="A802" s="1" t="s">
        <v>133</v>
      </c>
      <c r="B802" s="2" t="s">
        <v>38</v>
      </c>
      <c r="C802" s="2" t="s">
        <v>134</v>
      </c>
      <c r="D802" s="2" t="s">
        <v>85</v>
      </c>
      <c r="E802" s="2">
        <v>2021</v>
      </c>
      <c r="F802" s="2" t="s">
        <v>1789</v>
      </c>
      <c r="G802" s="2" t="s">
        <v>1667</v>
      </c>
      <c r="H802" s="2" t="s">
        <v>1669</v>
      </c>
      <c r="I802" s="1" t="s">
        <v>14</v>
      </c>
      <c r="J802" s="1" t="s">
        <v>2765</v>
      </c>
      <c r="L802" s="53">
        <v>0.157</v>
      </c>
      <c r="M802" s="3"/>
      <c r="N802" s="39"/>
      <c r="O802" s="39"/>
      <c r="P802" s="39"/>
      <c r="Q802" s="39"/>
      <c r="R802" s="39"/>
      <c r="S802" s="39">
        <v>28.11</v>
      </c>
      <c r="T802" s="39"/>
      <c r="U802" s="39"/>
      <c r="V802" s="3"/>
      <c r="W802" s="60"/>
    </row>
    <row r="803" spans="1:23" ht="25.5" x14ac:dyDescent="0.2">
      <c r="A803" s="1" t="s">
        <v>133</v>
      </c>
      <c r="B803" s="2" t="s">
        <v>38</v>
      </c>
      <c r="C803" s="2" t="s">
        <v>134</v>
      </c>
      <c r="D803" s="2" t="s">
        <v>85</v>
      </c>
      <c r="E803" s="2">
        <v>2021</v>
      </c>
      <c r="F803" s="2" t="s">
        <v>1791</v>
      </c>
      <c r="G803" s="2" t="s">
        <v>1667</v>
      </c>
      <c r="H803" s="2" t="s">
        <v>1669</v>
      </c>
      <c r="I803" s="1" t="s">
        <v>14</v>
      </c>
      <c r="J803" s="1" t="s">
        <v>2766</v>
      </c>
      <c r="L803" s="53">
        <v>0.15210000000000001</v>
      </c>
      <c r="M803" s="3"/>
      <c r="N803" s="39"/>
      <c r="O803" s="39"/>
      <c r="P803" s="39"/>
      <c r="Q803" s="39"/>
      <c r="R803" s="39"/>
      <c r="S803" s="39">
        <v>32.61</v>
      </c>
      <c r="T803" s="39"/>
      <c r="U803" s="39"/>
      <c r="V803" s="3"/>
      <c r="W803" s="60"/>
    </row>
    <row r="804" spans="1:23" ht="25.5" x14ac:dyDescent="0.2">
      <c r="A804" s="1" t="s">
        <v>133</v>
      </c>
      <c r="B804" s="2" t="s">
        <v>38</v>
      </c>
      <c r="C804" s="2" t="s">
        <v>134</v>
      </c>
      <c r="D804" s="2" t="s">
        <v>85</v>
      </c>
      <c r="E804" s="2">
        <v>2021</v>
      </c>
      <c r="F804" s="2" t="s">
        <v>311</v>
      </c>
      <c r="G804" s="2" t="s">
        <v>1667</v>
      </c>
      <c r="H804" s="2" t="s">
        <v>1669</v>
      </c>
      <c r="I804" s="1" t="s">
        <v>14</v>
      </c>
      <c r="J804" s="1" t="s">
        <v>2767</v>
      </c>
      <c r="L804" s="53">
        <v>0.152</v>
      </c>
      <c r="M804" s="3"/>
      <c r="N804" s="39"/>
      <c r="O804" s="39"/>
      <c r="P804" s="39"/>
      <c r="Q804" s="39"/>
      <c r="R804" s="39"/>
      <c r="S804" s="39">
        <v>26.71</v>
      </c>
      <c r="T804" s="39"/>
      <c r="U804" s="39"/>
      <c r="V804" s="3"/>
      <c r="W804" s="60"/>
    </row>
    <row r="805" spans="1:23" ht="25.5" x14ac:dyDescent="0.2">
      <c r="A805" s="1" t="s">
        <v>133</v>
      </c>
      <c r="B805" s="2" t="s">
        <v>38</v>
      </c>
      <c r="C805" s="2" t="s">
        <v>134</v>
      </c>
      <c r="D805" s="2" t="s">
        <v>85</v>
      </c>
      <c r="E805" s="2">
        <v>2021</v>
      </c>
      <c r="F805" s="2" t="s">
        <v>1794</v>
      </c>
      <c r="G805" s="2" t="s">
        <v>1667</v>
      </c>
      <c r="H805" s="2" t="s">
        <v>1669</v>
      </c>
      <c r="I805" s="1" t="s">
        <v>14</v>
      </c>
      <c r="J805" s="1" t="s">
        <v>2768</v>
      </c>
      <c r="L805" s="53">
        <v>0.14699999999999999</v>
      </c>
      <c r="M805" s="3"/>
      <c r="N805" s="39"/>
      <c r="O805" s="39"/>
      <c r="P805" s="39"/>
      <c r="Q805" s="39"/>
      <c r="R805" s="39"/>
      <c r="S805" s="39">
        <v>18.489999999999998</v>
      </c>
      <c r="T805" s="39"/>
      <c r="U805" s="39"/>
      <c r="V805" s="3"/>
      <c r="W805" s="60"/>
    </row>
    <row r="806" spans="1:23" ht="25.5" x14ac:dyDescent="0.2">
      <c r="A806" s="1" t="s">
        <v>133</v>
      </c>
      <c r="B806" s="2" t="s">
        <v>38</v>
      </c>
      <c r="C806" s="2" t="s">
        <v>134</v>
      </c>
      <c r="D806" s="2" t="s">
        <v>85</v>
      </c>
      <c r="E806" s="2">
        <v>2021</v>
      </c>
      <c r="F806" s="2" t="s">
        <v>1796</v>
      </c>
      <c r="G806" s="2" t="s">
        <v>1667</v>
      </c>
      <c r="H806" s="2" t="s">
        <v>1669</v>
      </c>
      <c r="I806" s="1" t="s">
        <v>14</v>
      </c>
      <c r="J806" s="1" t="s">
        <v>2769</v>
      </c>
      <c r="L806" s="53">
        <v>0.17299999999999999</v>
      </c>
      <c r="M806" s="3"/>
      <c r="N806" s="39"/>
      <c r="O806" s="39"/>
      <c r="P806" s="39"/>
      <c r="Q806" s="39"/>
      <c r="R806" s="39"/>
      <c r="S806" s="39">
        <v>29.05</v>
      </c>
      <c r="T806" s="39"/>
      <c r="U806" s="39"/>
      <c r="V806" s="3"/>
      <c r="W806" s="60"/>
    </row>
    <row r="807" spans="1:23" ht="25.5" x14ac:dyDescent="0.2">
      <c r="A807" s="1" t="s">
        <v>133</v>
      </c>
      <c r="B807" s="2" t="s">
        <v>38</v>
      </c>
      <c r="C807" s="2" t="s">
        <v>134</v>
      </c>
      <c r="D807" s="2" t="s">
        <v>85</v>
      </c>
      <c r="E807" s="2">
        <v>2021</v>
      </c>
      <c r="F807" s="2" t="s">
        <v>1798</v>
      </c>
      <c r="G807" s="2" t="s">
        <v>1667</v>
      </c>
      <c r="H807" s="2" t="s">
        <v>1669</v>
      </c>
      <c r="I807" s="1" t="s">
        <v>14</v>
      </c>
      <c r="J807" s="1" t="s">
        <v>2770</v>
      </c>
      <c r="L807" s="53">
        <v>0.16600000000000001</v>
      </c>
      <c r="M807" s="3"/>
      <c r="N807" s="39"/>
      <c r="O807" s="39"/>
      <c r="P807" s="39"/>
      <c r="Q807" s="39"/>
      <c r="R807" s="39"/>
      <c r="S807" s="39">
        <v>28.99</v>
      </c>
      <c r="T807" s="39"/>
      <c r="U807" s="39"/>
      <c r="V807" s="3"/>
      <c r="W807" s="60"/>
    </row>
    <row r="808" spans="1:23" ht="102" x14ac:dyDescent="0.2">
      <c r="A808" s="1" t="s">
        <v>2771</v>
      </c>
      <c r="B808" s="2" t="s">
        <v>198</v>
      </c>
      <c r="C808" s="2" t="s">
        <v>2772</v>
      </c>
      <c r="D808" s="2" t="s">
        <v>36</v>
      </c>
      <c r="E808" s="2">
        <v>2021</v>
      </c>
      <c r="F808" s="2" t="s">
        <v>1789</v>
      </c>
      <c r="G808" s="2" t="s">
        <v>1669</v>
      </c>
      <c r="H808" s="2" t="s">
        <v>1669</v>
      </c>
      <c r="I808" s="1" t="s">
        <v>2773</v>
      </c>
      <c r="J808" s="1" t="s">
        <v>2774</v>
      </c>
      <c r="L808" s="33"/>
      <c r="M808" s="15"/>
      <c r="N808" s="15"/>
      <c r="O808" s="15"/>
      <c r="P808" s="15"/>
      <c r="Q808" s="15"/>
      <c r="R808" s="15"/>
      <c r="S808" s="15"/>
      <c r="T808" s="15"/>
      <c r="U808" s="15"/>
      <c r="V808" s="15"/>
      <c r="W808" s="60" t="s">
        <v>1693</v>
      </c>
    </row>
    <row r="809" spans="1:23" ht="25.5" x14ac:dyDescent="0.2">
      <c r="A809" s="1" t="s">
        <v>180</v>
      </c>
      <c r="B809" s="2" t="s">
        <v>48</v>
      </c>
      <c r="C809" s="2" t="s">
        <v>181</v>
      </c>
      <c r="D809" s="2" t="s">
        <v>46</v>
      </c>
      <c r="E809" s="2">
        <v>2021</v>
      </c>
      <c r="F809" s="2" t="s">
        <v>1776</v>
      </c>
      <c r="G809" s="2" t="s">
        <v>1667</v>
      </c>
      <c r="H809" s="2" t="s">
        <v>1669</v>
      </c>
      <c r="I809" s="1" t="s">
        <v>14</v>
      </c>
      <c r="J809" s="1" t="s">
        <v>2775</v>
      </c>
      <c r="L809" s="53">
        <v>0.16500000000000001</v>
      </c>
      <c r="M809" s="39"/>
      <c r="N809" s="39"/>
      <c r="O809" s="39">
        <v>34.869999999999997</v>
      </c>
      <c r="P809" s="39"/>
      <c r="Q809" s="39"/>
      <c r="R809" s="39"/>
      <c r="S809" s="39"/>
      <c r="T809" s="39"/>
      <c r="U809" s="39"/>
      <c r="V809" s="39"/>
      <c r="W809" s="60"/>
    </row>
    <row r="810" spans="1:23" ht="25.5" x14ac:dyDescent="0.2">
      <c r="A810" s="1" t="s">
        <v>180</v>
      </c>
      <c r="B810" s="2" t="s">
        <v>48</v>
      </c>
      <c r="C810" s="2" t="s">
        <v>181</v>
      </c>
      <c r="D810" s="2" t="s">
        <v>46</v>
      </c>
      <c r="E810" s="2">
        <v>2021</v>
      </c>
      <c r="F810" s="2" t="s">
        <v>1779</v>
      </c>
      <c r="G810" s="2" t="s">
        <v>1667</v>
      </c>
      <c r="H810" s="2" t="s">
        <v>1669</v>
      </c>
      <c r="I810" s="1" t="s">
        <v>14</v>
      </c>
      <c r="J810" s="1" t="s">
        <v>2776</v>
      </c>
      <c r="L810" s="53">
        <v>0.155</v>
      </c>
      <c r="M810" s="39"/>
      <c r="N810" s="39"/>
      <c r="O810" s="39">
        <v>72.69</v>
      </c>
      <c r="P810" s="39"/>
      <c r="Q810" s="39"/>
      <c r="R810" s="39"/>
      <c r="S810" s="39"/>
      <c r="T810" s="39"/>
      <c r="U810" s="39"/>
      <c r="V810" s="39"/>
      <c r="W810" s="60"/>
    </row>
    <row r="811" spans="1:23" ht="25.5" x14ac:dyDescent="0.2">
      <c r="A811" s="1" t="s">
        <v>180</v>
      </c>
      <c r="B811" s="2" t="s">
        <v>48</v>
      </c>
      <c r="C811" s="2" t="s">
        <v>181</v>
      </c>
      <c r="D811" s="2" t="s">
        <v>46</v>
      </c>
      <c r="E811" s="2">
        <v>2021</v>
      </c>
      <c r="F811" s="2" t="s">
        <v>1781</v>
      </c>
      <c r="G811" s="2" t="s">
        <v>1667</v>
      </c>
      <c r="H811" s="2" t="s">
        <v>1669</v>
      </c>
      <c r="I811" s="1" t="s">
        <v>14</v>
      </c>
      <c r="J811" s="1" t="s">
        <v>2777</v>
      </c>
      <c r="L811" s="53">
        <v>0.16400000000000001</v>
      </c>
      <c r="M811" s="39"/>
      <c r="N811" s="39"/>
      <c r="O811" s="39">
        <v>51.17</v>
      </c>
      <c r="P811" s="39"/>
      <c r="Q811" s="39"/>
      <c r="R811" s="39"/>
      <c r="S811" s="39"/>
      <c r="T811" s="39"/>
      <c r="U811" s="39"/>
      <c r="V811" s="39"/>
      <c r="W811" s="60"/>
    </row>
    <row r="812" spans="1:23" ht="51" x14ac:dyDescent="0.2">
      <c r="A812" s="1" t="s">
        <v>180</v>
      </c>
      <c r="B812" s="2" t="s">
        <v>48</v>
      </c>
      <c r="C812" s="2" t="s">
        <v>181</v>
      </c>
      <c r="D812" s="2" t="s">
        <v>46</v>
      </c>
      <c r="E812" s="2">
        <v>2021</v>
      </c>
      <c r="F812" s="2" t="s">
        <v>1783</v>
      </c>
      <c r="G812" s="2" t="s">
        <v>1667</v>
      </c>
      <c r="H812" s="2" t="s">
        <v>1669</v>
      </c>
      <c r="I812" s="1" t="s">
        <v>14</v>
      </c>
      <c r="J812" s="1" t="s">
        <v>2778</v>
      </c>
      <c r="L812" s="53">
        <v>0.16200000000000001</v>
      </c>
      <c r="M812" s="39"/>
      <c r="N812" s="39"/>
      <c r="O812" s="39">
        <v>47.14</v>
      </c>
      <c r="P812" s="39"/>
      <c r="Q812" s="39"/>
      <c r="R812" s="39"/>
      <c r="S812" s="39"/>
      <c r="T812" s="39"/>
      <c r="U812" s="39"/>
      <c r="V812" s="39"/>
      <c r="W812" s="60"/>
    </row>
    <row r="813" spans="1:23" ht="25.5" x14ac:dyDescent="0.2">
      <c r="A813" s="1" t="s">
        <v>180</v>
      </c>
      <c r="B813" s="2" t="s">
        <v>48</v>
      </c>
      <c r="C813" s="2" t="s">
        <v>181</v>
      </c>
      <c r="D813" s="2" t="s">
        <v>46</v>
      </c>
      <c r="E813" s="2">
        <v>2021</v>
      </c>
      <c r="F813" s="2" t="s">
        <v>1785</v>
      </c>
      <c r="G813" s="2" t="s">
        <v>1667</v>
      </c>
      <c r="H813" s="2" t="s">
        <v>1669</v>
      </c>
      <c r="I813" s="1" t="s">
        <v>14</v>
      </c>
      <c r="J813" s="1" t="s">
        <v>2779</v>
      </c>
      <c r="L813" s="53">
        <v>0.17</v>
      </c>
      <c r="M813" s="39"/>
      <c r="N813" s="39"/>
      <c r="O813" s="39">
        <v>34.28</v>
      </c>
      <c r="P813" s="39"/>
      <c r="Q813" s="39"/>
      <c r="R813" s="39"/>
      <c r="S813" s="39"/>
      <c r="T813" s="39"/>
      <c r="U813" s="39"/>
      <c r="V813" s="39"/>
      <c r="W813" s="60"/>
    </row>
    <row r="814" spans="1:23" ht="25.5" x14ac:dyDescent="0.2">
      <c r="A814" s="1" t="s">
        <v>180</v>
      </c>
      <c r="B814" s="2" t="s">
        <v>48</v>
      </c>
      <c r="C814" s="2" t="s">
        <v>181</v>
      </c>
      <c r="D814" s="2" t="s">
        <v>46</v>
      </c>
      <c r="E814" s="2">
        <v>2021</v>
      </c>
      <c r="F814" s="2" t="s">
        <v>1787</v>
      </c>
      <c r="G814" s="2" t="s">
        <v>1667</v>
      </c>
      <c r="H814" s="2" t="s">
        <v>1669</v>
      </c>
      <c r="I814" s="1" t="s">
        <v>14</v>
      </c>
      <c r="J814" s="1" t="s">
        <v>2780</v>
      </c>
      <c r="L814" s="53">
        <v>0.157</v>
      </c>
      <c r="M814" s="39"/>
      <c r="N814" s="39"/>
      <c r="O814" s="39">
        <v>49.96</v>
      </c>
      <c r="P814" s="39"/>
      <c r="Q814" s="39"/>
      <c r="R814" s="39"/>
      <c r="S814" s="39"/>
      <c r="T814" s="39"/>
      <c r="U814" s="39"/>
      <c r="V814" s="39"/>
      <c r="W814" s="60"/>
    </row>
    <row r="815" spans="1:23" ht="25.5" x14ac:dyDescent="0.2">
      <c r="A815" s="1" t="s">
        <v>180</v>
      </c>
      <c r="B815" s="2" t="s">
        <v>48</v>
      </c>
      <c r="C815" s="2" t="s">
        <v>181</v>
      </c>
      <c r="D815" s="2" t="s">
        <v>46</v>
      </c>
      <c r="E815" s="2">
        <v>2021</v>
      </c>
      <c r="F815" s="2" t="s">
        <v>1789</v>
      </c>
      <c r="G815" s="2" t="s">
        <v>1667</v>
      </c>
      <c r="H815" s="2" t="s">
        <v>1669</v>
      </c>
      <c r="I815" s="1" t="s">
        <v>14</v>
      </c>
      <c r="J815" s="1" t="s">
        <v>2781</v>
      </c>
      <c r="L815" s="53">
        <v>0.16300000000000001</v>
      </c>
      <c r="M815" s="39"/>
      <c r="N815" s="39"/>
      <c r="O815" s="39">
        <v>50.91</v>
      </c>
      <c r="P815" s="39"/>
      <c r="Q815" s="39"/>
      <c r="R815" s="39"/>
      <c r="S815" s="39"/>
      <c r="T815" s="39"/>
      <c r="U815" s="39"/>
      <c r="V815" s="39"/>
      <c r="W815" s="60"/>
    </row>
    <row r="816" spans="1:23" ht="25.5" x14ac:dyDescent="0.2">
      <c r="A816" s="1" t="s">
        <v>180</v>
      </c>
      <c r="B816" s="2" t="s">
        <v>48</v>
      </c>
      <c r="C816" s="2" t="s">
        <v>181</v>
      </c>
      <c r="D816" s="2" t="s">
        <v>46</v>
      </c>
      <c r="E816" s="2">
        <v>2021</v>
      </c>
      <c r="F816" s="2" t="s">
        <v>1791</v>
      </c>
      <c r="G816" s="2" t="s">
        <v>1667</v>
      </c>
      <c r="H816" s="2" t="s">
        <v>1669</v>
      </c>
      <c r="I816" s="1" t="s">
        <v>14</v>
      </c>
      <c r="J816" s="1" t="s">
        <v>2782</v>
      </c>
      <c r="L816" s="53">
        <v>0.16600000000000001</v>
      </c>
      <c r="M816" s="39"/>
      <c r="N816" s="39"/>
      <c r="O816" s="39">
        <v>34.47</v>
      </c>
      <c r="P816" s="39"/>
      <c r="Q816" s="39"/>
      <c r="R816" s="39"/>
      <c r="S816" s="39"/>
      <c r="T816" s="39"/>
      <c r="U816" s="39"/>
      <c r="V816" s="39"/>
      <c r="W816" s="60"/>
    </row>
    <row r="817" spans="1:23" ht="25.5" x14ac:dyDescent="0.2">
      <c r="A817" s="1" t="s">
        <v>180</v>
      </c>
      <c r="B817" s="2" t="s">
        <v>48</v>
      </c>
      <c r="C817" s="2" t="s">
        <v>181</v>
      </c>
      <c r="D817" s="2" t="s">
        <v>46</v>
      </c>
      <c r="E817" s="2">
        <v>2021</v>
      </c>
      <c r="F817" s="2" t="s">
        <v>311</v>
      </c>
      <c r="G817" s="2" t="s">
        <v>1667</v>
      </c>
      <c r="H817" s="2" t="s">
        <v>1669</v>
      </c>
      <c r="I817" s="1" t="s">
        <v>14</v>
      </c>
      <c r="J817" s="1" t="s">
        <v>2783</v>
      </c>
      <c r="L817" s="53">
        <v>0.16200000000000001</v>
      </c>
      <c r="M817" s="39"/>
      <c r="N817" s="39"/>
      <c r="O817" s="39">
        <v>36.72</v>
      </c>
      <c r="P817" s="39"/>
      <c r="Q817" s="39"/>
      <c r="R817" s="39"/>
      <c r="S817" s="39"/>
      <c r="T817" s="39"/>
      <c r="U817" s="39"/>
      <c r="V817" s="39"/>
      <c r="W817" s="60"/>
    </row>
    <row r="818" spans="1:23" ht="25.5" x14ac:dyDescent="0.2">
      <c r="A818" s="1" t="s">
        <v>180</v>
      </c>
      <c r="B818" s="2" t="s">
        <v>48</v>
      </c>
      <c r="C818" s="2" t="s">
        <v>181</v>
      </c>
      <c r="D818" s="2" t="s">
        <v>46</v>
      </c>
      <c r="E818" s="2">
        <v>2021</v>
      </c>
      <c r="F818" s="2" t="s">
        <v>1794</v>
      </c>
      <c r="G818" s="2" t="s">
        <v>1667</v>
      </c>
      <c r="H818" s="2" t="s">
        <v>1669</v>
      </c>
      <c r="I818" s="1" t="s">
        <v>14</v>
      </c>
      <c r="J818" s="1" t="s">
        <v>2784</v>
      </c>
      <c r="L818" s="53">
        <v>0.156</v>
      </c>
      <c r="M818" s="39"/>
      <c r="N818" s="39"/>
      <c r="O818" s="39">
        <v>37.29</v>
      </c>
      <c r="P818" s="39"/>
      <c r="Q818" s="39"/>
      <c r="R818" s="39"/>
      <c r="S818" s="39"/>
      <c r="T818" s="39"/>
      <c r="U818" s="39"/>
      <c r="V818" s="39"/>
      <c r="W818" s="60"/>
    </row>
    <row r="819" spans="1:23" ht="25.5" x14ac:dyDescent="0.2">
      <c r="A819" s="1" t="s">
        <v>180</v>
      </c>
      <c r="B819" s="2" t="s">
        <v>48</v>
      </c>
      <c r="C819" s="2" t="s">
        <v>181</v>
      </c>
      <c r="D819" s="2" t="s">
        <v>46</v>
      </c>
      <c r="E819" s="2">
        <v>2021</v>
      </c>
      <c r="F819" s="2" t="s">
        <v>1796</v>
      </c>
      <c r="G819" s="2" t="s">
        <v>1667</v>
      </c>
      <c r="H819" s="2" t="s">
        <v>1669</v>
      </c>
      <c r="I819" s="1" t="s">
        <v>14</v>
      </c>
      <c r="J819" s="1" t="s">
        <v>2785</v>
      </c>
      <c r="L819" s="53">
        <v>0.158</v>
      </c>
      <c r="M819" s="39"/>
      <c r="N819" s="39"/>
      <c r="O819" s="39">
        <v>37.22</v>
      </c>
      <c r="P819" s="39"/>
      <c r="Q819" s="39"/>
      <c r="R819" s="39"/>
      <c r="S819" s="39"/>
      <c r="T819" s="39"/>
      <c r="U819" s="39"/>
      <c r="V819" s="39"/>
      <c r="W819" s="60"/>
    </row>
    <row r="820" spans="1:23" ht="25.5" x14ac:dyDescent="0.2">
      <c r="A820" s="1" t="s">
        <v>180</v>
      </c>
      <c r="B820" s="2" t="s">
        <v>48</v>
      </c>
      <c r="C820" s="2" t="s">
        <v>181</v>
      </c>
      <c r="D820" s="2" t="s">
        <v>46</v>
      </c>
      <c r="E820" s="2">
        <v>2021</v>
      </c>
      <c r="F820" s="2" t="s">
        <v>1798</v>
      </c>
      <c r="G820" s="2" t="s">
        <v>1667</v>
      </c>
      <c r="H820" s="2" t="s">
        <v>1669</v>
      </c>
      <c r="I820" s="1" t="s">
        <v>14</v>
      </c>
      <c r="J820" s="1" t="s">
        <v>2786</v>
      </c>
      <c r="L820" s="53">
        <v>0.161</v>
      </c>
      <c r="M820" s="39"/>
      <c r="N820" s="39"/>
      <c r="O820" s="39">
        <v>38.19</v>
      </c>
      <c r="P820" s="39"/>
      <c r="Q820" s="39"/>
      <c r="R820" s="39"/>
      <c r="S820" s="39"/>
      <c r="T820" s="39"/>
      <c r="U820" s="39"/>
      <c r="V820" s="39"/>
      <c r="W820" s="60"/>
    </row>
    <row r="821" spans="1:23" ht="38.25" x14ac:dyDescent="0.2">
      <c r="A821" s="1" t="s">
        <v>75</v>
      </c>
      <c r="B821" s="2" t="s">
        <v>16</v>
      </c>
      <c r="C821" s="2" t="s">
        <v>76</v>
      </c>
      <c r="D821" s="2" t="s">
        <v>77</v>
      </c>
      <c r="E821" s="2">
        <v>2021</v>
      </c>
      <c r="F821" s="2" t="s">
        <v>1776</v>
      </c>
      <c r="G821" s="2" t="s">
        <v>1667</v>
      </c>
      <c r="H821" s="2" t="s">
        <v>1669</v>
      </c>
      <c r="I821" s="1" t="s">
        <v>14</v>
      </c>
      <c r="J821" s="1" t="s">
        <v>2787</v>
      </c>
      <c r="L821" s="53" t="s">
        <v>1670</v>
      </c>
      <c r="M821" s="39"/>
      <c r="N821" s="39"/>
      <c r="O821" s="39">
        <v>920.8</v>
      </c>
      <c r="P821" s="39"/>
      <c r="Q821" s="39"/>
      <c r="R821" s="39"/>
      <c r="S821" s="39"/>
      <c r="T821" s="39"/>
      <c r="U821" s="39"/>
      <c r="V821" s="39"/>
      <c r="W821" s="60"/>
    </row>
    <row r="822" spans="1:23" ht="25.5" x14ac:dyDescent="0.2">
      <c r="A822" s="1" t="s">
        <v>75</v>
      </c>
      <c r="B822" s="2" t="s">
        <v>16</v>
      </c>
      <c r="C822" s="2" t="s">
        <v>76</v>
      </c>
      <c r="D822" s="2" t="s">
        <v>77</v>
      </c>
      <c r="E822" s="2">
        <v>2021</v>
      </c>
      <c r="F822" s="2" t="s">
        <v>1779</v>
      </c>
      <c r="G822" s="2" t="s">
        <v>1667</v>
      </c>
      <c r="H822" s="2" t="s">
        <v>1669</v>
      </c>
      <c r="I822" s="1" t="s">
        <v>14</v>
      </c>
      <c r="J822" s="1" t="s">
        <v>2788</v>
      </c>
      <c r="L822" s="53" t="s">
        <v>1670</v>
      </c>
      <c r="M822" s="39"/>
      <c r="N822" s="39"/>
      <c r="O822" s="39">
        <v>925.55</v>
      </c>
      <c r="P822" s="39"/>
      <c r="Q822" s="39"/>
      <c r="R822" s="39"/>
      <c r="S822" s="39"/>
      <c r="T822" s="39"/>
      <c r="U822" s="39"/>
      <c r="V822" s="39"/>
      <c r="W822" s="60"/>
    </row>
    <row r="823" spans="1:23" ht="25.5" x14ac:dyDescent="0.2">
      <c r="A823" s="1" t="s">
        <v>75</v>
      </c>
      <c r="B823" s="2" t="s">
        <v>16</v>
      </c>
      <c r="C823" s="2" t="s">
        <v>76</v>
      </c>
      <c r="D823" s="2" t="s">
        <v>77</v>
      </c>
      <c r="E823" s="2">
        <v>2021</v>
      </c>
      <c r="F823" s="2" t="s">
        <v>1781</v>
      </c>
      <c r="G823" s="2" t="s">
        <v>1667</v>
      </c>
      <c r="H823" s="2" t="s">
        <v>1669</v>
      </c>
      <c r="I823" s="1" t="s">
        <v>14</v>
      </c>
      <c r="J823" s="1" t="s">
        <v>2789</v>
      </c>
      <c r="L823" s="53" t="s">
        <v>1670</v>
      </c>
      <c r="M823" s="39"/>
      <c r="N823" s="39"/>
      <c r="O823" s="39">
        <v>1031.8699999999999</v>
      </c>
      <c r="P823" s="39"/>
      <c r="Q823" s="39"/>
      <c r="R823" s="39"/>
      <c r="S823" s="39"/>
      <c r="T823" s="39"/>
      <c r="U823" s="39"/>
      <c r="V823" s="39"/>
      <c r="W823" s="60"/>
    </row>
    <row r="824" spans="1:23" ht="25.5" x14ac:dyDescent="0.2">
      <c r="A824" s="1" t="s">
        <v>75</v>
      </c>
      <c r="B824" s="2" t="s">
        <v>16</v>
      </c>
      <c r="C824" s="2" t="s">
        <v>76</v>
      </c>
      <c r="D824" s="2" t="s">
        <v>77</v>
      </c>
      <c r="E824" s="2">
        <v>2021</v>
      </c>
      <c r="F824" s="2" t="s">
        <v>1783</v>
      </c>
      <c r="G824" s="2" t="s">
        <v>1667</v>
      </c>
      <c r="H824" s="2" t="s">
        <v>1669</v>
      </c>
      <c r="I824" s="1" t="s">
        <v>14</v>
      </c>
      <c r="J824" s="1" t="s">
        <v>2790</v>
      </c>
      <c r="L824" s="53" t="s">
        <v>1670</v>
      </c>
      <c r="M824" s="39"/>
      <c r="N824" s="39"/>
      <c r="O824" s="39">
        <v>1015.39</v>
      </c>
      <c r="P824" s="39"/>
      <c r="Q824" s="39"/>
      <c r="R824" s="39"/>
      <c r="S824" s="39"/>
      <c r="T824" s="39"/>
      <c r="U824" s="39"/>
      <c r="V824" s="39"/>
      <c r="W824" s="60"/>
    </row>
    <row r="825" spans="1:23" ht="25.5" x14ac:dyDescent="0.2">
      <c r="A825" s="1" t="s">
        <v>75</v>
      </c>
      <c r="B825" s="2" t="s">
        <v>16</v>
      </c>
      <c r="C825" s="2" t="s">
        <v>76</v>
      </c>
      <c r="D825" s="2" t="s">
        <v>77</v>
      </c>
      <c r="E825" s="2">
        <v>2021</v>
      </c>
      <c r="F825" s="2" t="s">
        <v>1785</v>
      </c>
      <c r="G825" s="2" t="s">
        <v>1667</v>
      </c>
      <c r="H825" s="2" t="s">
        <v>1669</v>
      </c>
      <c r="I825" s="1" t="s">
        <v>14</v>
      </c>
      <c r="J825" s="1" t="s">
        <v>2791</v>
      </c>
      <c r="L825" s="53" t="s">
        <v>1670</v>
      </c>
      <c r="M825" s="39"/>
      <c r="N825" s="39"/>
      <c r="O825" s="39">
        <v>983.95</v>
      </c>
      <c r="P825" s="39"/>
      <c r="Q825" s="39"/>
      <c r="R825" s="39"/>
      <c r="S825" s="39"/>
      <c r="T825" s="39"/>
      <c r="U825" s="39"/>
      <c r="V825" s="39"/>
      <c r="W825" s="60"/>
    </row>
    <row r="826" spans="1:23" ht="25.5" x14ac:dyDescent="0.2">
      <c r="A826" s="1" t="s">
        <v>75</v>
      </c>
      <c r="B826" s="2" t="s">
        <v>16</v>
      </c>
      <c r="C826" s="2" t="s">
        <v>76</v>
      </c>
      <c r="D826" s="2" t="s">
        <v>77</v>
      </c>
      <c r="E826" s="2">
        <v>2021</v>
      </c>
      <c r="F826" s="2" t="s">
        <v>1787</v>
      </c>
      <c r="G826" s="2" t="s">
        <v>1667</v>
      </c>
      <c r="H826" s="2" t="s">
        <v>1669</v>
      </c>
      <c r="I826" s="1" t="s">
        <v>14</v>
      </c>
      <c r="J826" s="1" t="s">
        <v>2792</v>
      </c>
      <c r="L826" s="53" t="s">
        <v>1670</v>
      </c>
      <c r="M826" s="39"/>
      <c r="N826" s="39"/>
      <c r="O826" s="39">
        <v>971.5</v>
      </c>
      <c r="P826" s="39"/>
      <c r="Q826" s="39"/>
      <c r="R826" s="39"/>
      <c r="S826" s="39"/>
      <c r="T826" s="39"/>
      <c r="U826" s="39"/>
      <c r="V826" s="39"/>
      <c r="W826" s="60"/>
    </row>
    <row r="827" spans="1:23" ht="25.5" x14ac:dyDescent="0.2">
      <c r="A827" s="1" t="s">
        <v>75</v>
      </c>
      <c r="B827" s="2" t="s">
        <v>16</v>
      </c>
      <c r="C827" s="2" t="s">
        <v>76</v>
      </c>
      <c r="D827" s="2" t="s">
        <v>77</v>
      </c>
      <c r="E827" s="2">
        <v>2021</v>
      </c>
      <c r="F827" s="2" t="s">
        <v>1789</v>
      </c>
      <c r="G827" s="2" t="s">
        <v>1667</v>
      </c>
      <c r="H827" s="2" t="s">
        <v>1669</v>
      </c>
      <c r="I827" s="1" t="s">
        <v>14</v>
      </c>
      <c r="J827" s="1" t="s">
        <v>2793</v>
      </c>
      <c r="L827" s="53" t="s">
        <v>1670</v>
      </c>
      <c r="M827" s="39"/>
      <c r="N827" s="39"/>
      <c r="O827" s="39">
        <v>943.95</v>
      </c>
      <c r="P827" s="39"/>
      <c r="Q827" s="39"/>
      <c r="R827" s="39"/>
      <c r="S827" s="39"/>
      <c r="T827" s="39"/>
      <c r="U827" s="39"/>
      <c r="V827" s="39"/>
      <c r="W827" s="60"/>
    </row>
    <row r="828" spans="1:23" ht="25.5" x14ac:dyDescent="0.2">
      <c r="A828" s="1" t="s">
        <v>75</v>
      </c>
      <c r="B828" s="2" t="s">
        <v>16</v>
      </c>
      <c r="C828" s="2" t="s">
        <v>76</v>
      </c>
      <c r="D828" s="2" t="s">
        <v>77</v>
      </c>
      <c r="E828" s="2">
        <v>2021</v>
      </c>
      <c r="F828" s="2" t="s">
        <v>1791</v>
      </c>
      <c r="G828" s="2" t="s">
        <v>1667</v>
      </c>
      <c r="H828" s="2" t="s">
        <v>1669</v>
      </c>
      <c r="I828" s="1" t="s">
        <v>14</v>
      </c>
      <c r="J828" s="1" t="s">
        <v>2794</v>
      </c>
      <c r="L828" s="53" t="s">
        <v>1670</v>
      </c>
      <c r="M828" s="39"/>
      <c r="N828" s="39"/>
      <c r="O828" s="39">
        <v>882.34</v>
      </c>
      <c r="P828" s="39"/>
      <c r="Q828" s="39"/>
      <c r="R828" s="39"/>
      <c r="S828" s="39"/>
      <c r="T828" s="39"/>
      <c r="U828" s="39"/>
      <c r="V828" s="39"/>
      <c r="W828" s="60"/>
    </row>
    <row r="829" spans="1:23" ht="25.5" x14ac:dyDescent="0.2">
      <c r="A829" s="1" t="s">
        <v>75</v>
      </c>
      <c r="B829" s="2" t="s">
        <v>16</v>
      </c>
      <c r="C829" s="2" t="s">
        <v>76</v>
      </c>
      <c r="D829" s="2" t="s">
        <v>77</v>
      </c>
      <c r="E829" s="2">
        <v>2021</v>
      </c>
      <c r="F829" s="2" t="s">
        <v>311</v>
      </c>
      <c r="G829" s="2" t="s">
        <v>1667</v>
      </c>
      <c r="H829" s="2" t="s">
        <v>1669</v>
      </c>
      <c r="I829" s="1" t="s">
        <v>14</v>
      </c>
      <c r="J829" s="1" t="s">
        <v>2795</v>
      </c>
      <c r="L829" s="53" t="s">
        <v>1670</v>
      </c>
      <c r="M829" s="39"/>
      <c r="N829" s="39"/>
      <c r="O829" s="39">
        <v>943.39</v>
      </c>
      <c r="P829" s="39"/>
      <c r="Q829" s="39"/>
      <c r="R829" s="39"/>
      <c r="S829" s="39"/>
      <c r="T829" s="39"/>
      <c r="U829" s="39"/>
      <c r="V829" s="39"/>
      <c r="W829" s="60"/>
    </row>
    <row r="830" spans="1:23" ht="25.5" x14ac:dyDescent="0.2">
      <c r="A830" s="1" t="s">
        <v>75</v>
      </c>
      <c r="B830" s="2" t="s">
        <v>16</v>
      </c>
      <c r="C830" s="2" t="s">
        <v>76</v>
      </c>
      <c r="D830" s="2" t="s">
        <v>77</v>
      </c>
      <c r="E830" s="2">
        <v>2021</v>
      </c>
      <c r="F830" s="2" t="s">
        <v>1794</v>
      </c>
      <c r="G830" s="2" t="s">
        <v>1667</v>
      </c>
      <c r="H830" s="2" t="s">
        <v>1669</v>
      </c>
      <c r="I830" s="1" t="s">
        <v>14</v>
      </c>
      <c r="J830" s="1" t="s">
        <v>2796</v>
      </c>
      <c r="L830" s="53">
        <v>0.32700000000000001</v>
      </c>
      <c r="M830" s="39"/>
      <c r="N830" s="39"/>
      <c r="O830" s="39">
        <v>932.13</v>
      </c>
      <c r="P830" s="39"/>
      <c r="Q830" s="39"/>
      <c r="R830" s="39"/>
      <c r="S830" s="39"/>
      <c r="T830" s="39"/>
      <c r="U830" s="39"/>
      <c r="V830" s="39"/>
      <c r="W830" s="60"/>
    </row>
    <row r="831" spans="1:23" ht="25.5" x14ac:dyDescent="0.2">
      <c r="A831" s="1" t="s">
        <v>75</v>
      </c>
      <c r="B831" s="2" t="s">
        <v>16</v>
      </c>
      <c r="C831" s="2" t="s">
        <v>76</v>
      </c>
      <c r="D831" s="2" t="s">
        <v>77</v>
      </c>
      <c r="E831" s="2">
        <v>2021</v>
      </c>
      <c r="F831" s="2" t="s">
        <v>1796</v>
      </c>
      <c r="G831" s="2" t="s">
        <v>1667</v>
      </c>
      <c r="H831" s="2" t="s">
        <v>1669</v>
      </c>
      <c r="I831" s="1" t="s">
        <v>14</v>
      </c>
      <c r="J831" s="1" t="s">
        <v>2797</v>
      </c>
      <c r="L831" s="53">
        <v>0.33</v>
      </c>
      <c r="M831" s="39"/>
      <c r="N831" s="39"/>
      <c r="O831" s="39">
        <v>874.4</v>
      </c>
      <c r="P831" s="39"/>
      <c r="Q831" s="39"/>
      <c r="R831" s="39"/>
      <c r="S831" s="39"/>
      <c r="T831" s="39"/>
      <c r="U831" s="39"/>
      <c r="V831" s="39"/>
      <c r="W831" s="60"/>
    </row>
    <row r="832" spans="1:23" ht="25.5" x14ac:dyDescent="0.2">
      <c r="A832" s="1" t="s">
        <v>75</v>
      </c>
      <c r="B832" s="2" t="s">
        <v>16</v>
      </c>
      <c r="C832" s="2" t="s">
        <v>76</v>
      </c>
      <c r="D832" s="2" t="s">
        <v>77</v>
      </c>
      <c r="E832" s="2">
        <v>2021</v>
      </c>
      <c r="F832" s="2" t="s">
        <v>1798</v>
      </c>
      <c r="G832" s="2" t="s">
        <v>1667</v>
      </c>
      <c r="H832" s="2" t="s">
        <v>1669</v>
      </c>
      <c r="I832" s="1" t="s">
        <v>14</v>
      </c>
      <c r="J832" s="1" t="s">
        <v>2798</v>
      </c>
      <c r="L832" s="53">
        <v>0.316</v>
      </c>
      <c r="M832" s="39"/>
      <c r="N832" s="39"/>
      <c r="O832" s="39">
        <v>935.84</v>
      </c>
      <c r="P832" s="39"/>
      <c r="Q832" s="39"/>
      <c r="R832" s="39"/>
      <c r="S832" s="39"/>
      <c r="T832" s="39"/>
      <c r="U832" s="39"/>
      <c r="V832" s="39"/>
      <c r="W832" s="60"/>
    </row>
    <row r="833" spans="1:23" ht="165.75" x14ac:dyDescent="0.2">
      <c r="A833" s="1" t="s">
        <v>2799</v>
      </c>
      <c r="B833" s="2" t="s">
        <v>198</v>
      </c>
      <c r="C833" s="2" t="s">
        <v>76</v>
      </c>
      <c r="D833" s="2" t="s">
        <v>77</v>
      </c>
      <c r="E833" s="2">
        <v>2021</v>
      </c>
      <c r="F833" s="2" t="s">
        <v>1794</v>
      </c>
      <c r="G833" s="2" t="s">
        <v>1669</v>
      </c>
      <c r="H833" s="2" t="s">
        <v>1668</v>
      </c>
      <c r="I833" s="1" t="s">
        <v>2800</v>
      </c>
      <c r="J833" s="1" t="s">
        <v>2801</v>
      </c>
      <c r="L833" s="53"/>
      <c r="M833" s="39"/>
      <c r="N833" s="39"/>
      <c r="O833" s="39"/>
      <c r="P833" s="39"/>
      <c r="Q833" s="39"/>
      <c r="R833" s="39"/>
      <c r="S833" s="39"/>
      <c r="T833" s="39"/>
      <c r="U833" s="39"/>
      <c r="V833" s="39"/>
      <c r="W833" s="60" t="s">
        <v>1693</v>
      </c>
    </row>
    <row r="834" spans="1:23" ht="114.75" x14ac:dyDescent="0.2">
      <c r="A834" s="1" t="s">
        <v>2802</v>
      </c>
      <c r="B834" s="2" t="s">
        <v>196</v>
      </c>
      <c r="C834" s="2" t="s">
        <v>2803</v>
      </c>
      <c r="D834" s="2" t="s">
        <v>197</v>
      </c>
      <c r="E834" s="2">
        <v>2021</v>
      </c>
      <c r="F834" s="2" t="s">
        <v>1785</v>
      </c>
      <c r="G834" s="2" t="s">
        <v>1669</v>
      </c>
      <c r="H834" s="2" t="s">
        <v>1669</v>
      </c>
      <c r="I834" s="1" t="s">
        <v>2804</v>
      </c>
      <c r="J834" s="1" t="s">
        <v>2805</v>
      </c>
      <c r="L834" s="53">
        <v>0.3</v>
      </c>
      <c r="M834" s="39"/>
      <c r="N834" s="39"/>
      <c r="O834" s="39">
        <f>700*L834</f>
        <v>210</v>
      </c>
      <c r="P834" s="39"/>
      <c r="Q834" s="39"/>
      <c r="R834" s="39"/>
      <c r="S834" s="39"/>
      <c r="T834" s="39"/>
      <c r="U834" s="39"/>
      <c r="V834" s="39"/>
      <c r="W834" s="60"/>
    </row>
    <row r="835" spans="1:23" ht="76.5" x14ac:dyDescent="0.2">
      <c r="A835" s="1" t="s">
        <v>2806</v>
      </c>
      <c r="B835" s="2" t="s">
        <v>2379</v>
      </c>
      <c r="C835" s="2" t="s">
        <v>2807</v>
      </c>
      <c r="D835" s="2" t="s">
        <v>2808</v>
      </c>
      <c r="E835" s="2">
        <v>2021</v>
      </c>
      <c r="F835" s="2" t="s">
        <v>1789</v>
      </c>
      <c r="G835" s="2" t="s">
        <v>1669</v>
      </c>
      <c r="H835" s="2" t="s">
        <v>1669</v>
      </c>
      <c r="I835" s="1" t="s">
        <v>2809</v>
      </c>
      <c r="J835" s="1" t="s">
        <v>2809</v>
      </c>
      <c r="L835" s="53">
        <v>0.27</v>
      </c>
      <c r="M835" s="39"/>
      <c r="N835" s="39"/>
      <c r="O835" s="39">
        <f>157.7+146.9+59.8+22.5</f>
        <v>386.90000000000003</v>
      </c>
      <c r="P835" s="39"/>
      <c r="Q835" s="39"/>
      <c r="R835" s="39"/>
      <c r="S835" s="39"/>
      <c r="T835" s="39"/>
      <c r="U835" s="39"/>
      <c r="V835" s="39"/>
      <c r="W835" s="60"/>
    </row>
    <row r="836" spans="1:23" ht="25.5" x14ac:dyDescent="0.2">
      <c r="A836" s="1" t="s">
        <v>2810</v>
      </c>
      <c r="B836" s="2" t="s">
        <v>222</v>
      </c>
      <c r="C836" s="2" t="s">
        <v>2811</v>
      </c>
      <c r="D836" s="2" t="s">
        <v>305</v>
      </c>
      <c r="E836" s="2">
        <v>2021</v>
      </c>
      <c r="F836" s="2" t="s">
        <v>1789</v>
      </c>
      <c r="G836" s="2" t="s">
        <v>1668</v>
      </c>
      <c r="H836" s="2" t="s">
        <v>1669</v>
      </c>
      <c r="I836" s="1" t="s">
        <v>14</v>
      </c>
      <c r="J836" s="1" t="s">
        <v>2812</v>
      </c>
      <c r="L836" s="53" t="s">
        <v>1670</v>
      </c>
      <c r="M836" s="39"/>
      <c r="N836" s="39"/>
      <c r="O836" s="39"/>
      <c r="P836" s="39"/>
      <c r="Q836" s="39"/>
      <c r="R836" s="39"/>
      <c r="S836" s="39"/>
      <c r="T836" s="39"/>
      <c r="U836" s="39"/>
      <c r="V836" s="39">
        <f>64+158</f>
        <v>222</v>
      </c>
      <c r="W836" s="60" t="s">
        <v>1682</v>
      </c>
    </row>
    <row r="837" spans="1:23" ht="76.5" x14ac:dyDescent="0.2">
      <c r="A837" s="1" t="s">
        <v>443</v>
      </c>
      <c r="B837" s="2" t="s">
        <v>383</v>
      </c>
      <c r="C837" s="2" t="s">
        <v>444</v>
      </c>
      <c r="D837" s="2" t="s">
        <v>85</v>
      </c>
      <c r="E837" s="2">
        <v>2021</v>
      </c>
      <c r="F837" s="2" t="s">
        <v>1785</v>
      </c>
      <c r="G837" s="2" t="s">
        <v>1669</v>
      </c>
      <c r="H837" s="2" t="s">
        <v>1669</v>
      </c>
      <c r="I837" s="1" t="s">
        <v>2813</v>
      </c>
      <c r="J837" s="1" t="s">
        <v>2814</v>
      </c>
      <c r="L837" s="53">
        <v>0.3</v>
      </c>
      <c r="M837" s="39"/>
      <c r="N837" s="39"/>
      <c r="O837" s="39"/>
      <c r="P837" s="39"/>
      <c r="Q837" s="39"/>
      <c r="R837" s="39"/>
      <c r="S837" s="39"/>
      <c r="T837" s="39"/>
      <c r="U837" s="39"/>
      <c r="V837" s="39">
        <f>(95.61/0.4816)+(185.9/0.2531)</f>
        <v>933.01804304366726</v>
      </c>
      <c r="W837" s="60"/>
    </row>
    <row r="838" spans="1:23" ht="89.25" x14ac:dyDescent="0.2">
      <c r="A838" s="1" t="s">
        <v>443</v>
      </c>
      <c r="B838" s="2" t="s">
        <v>383</v>
      </c>
      <c r="C838" s="2" t="s">
        <v>444</v>
      </c>
      <c r="D838" s="2" t="s">
        <v>85</v>
      </c>
      <c r="E838" s="2">
        <v>2021</v>
      </c>
      <c r="F838" s="2" t="s">
        <v>1787</v>
      </c>
      <c r="G838" s="2" t="s">
        <v>1669</v>
      </c>
      <c r="H838" s="2" t="s">
        <v>1669</v>
      </c>
      <c r="I838" s="1" t="s">
        <v>2815</v>
      </c>
      <c r="J838" s="1" t="s">
        <v>2816</v>
      </c>
      <c r="L838" s="53">
        <v>0.2631</v>
      </c>
      <c r="M838" s="39"/>
      <c r="N838" s="39"/>
      <c r="O838" s="39"/>
      <c r="P838" s="39"/>
      <c r="Q838" s="39"/>
      <c r="R838" s="39"/>
      <c r="S838" s="39"/>
      <c r="T838" s="39"/>
      <c r="U838" s="39"/>
      <c r="V838" s="39">
        <f>85.31/L838</f>
        <v>324.24933485366779</v>
      </c>
      <c r="W838" s="60"/>
    </row>
    <row r="839" spans="1:23" ht="127.5" x14ac:dyDescent="0.2">
      <c r="A839" s="1" t="s">
        <v>2817</v>
      </c>
      <c r="B839" s="2" t="s">
        <v>198</v>
      </c>
      <c r="C839" s="2" t="s">
        <v>2818</v>
      </c>
      <c r="D839" s="2" t="s">
        <v>92</v>
      </c>
      <c r="E839" s="2">
        <v>2021</v>
      </c>
      <c r="F839" s="2" t="s">
        <v>311</v>
      </c>
      <c r="G839" s="2" t="s">
        <v>1669</v>
      </c>
      <c r="H839" s="2" t="s">
        <v>1669</v>
      </c>
      <c r="I839" s="1" t="s">
        <v>2819</v>
      </c>
      <c r="J839" s="1" t="s">
        <v>2820</v>
      </c>
      <c r="L839" s="53">
        <v>3.0499999999999999E-2</v>
      </c>
      <c r="M839" s="39"/>
      <c r="N839" s="39"/>
      <c r="O839" s="39">
        <v>991.42</v>
      </c>
      <c r="P839" s="39"/>
      <c r="Q839" s="39"/>
      <c r="R839" s="39"/>
      <c r="S839" s="39"/>
      <c r="T839" s="39"/>
      <c r="U839" s="39"/>
      <c r="V839" s="39"/>
      <c r="W839" s="60" t="s">
        <v>1699</v>
      </c>
    </row>
    <row r="840" spans="1:23" ht="114.75" x14ac:dyDescent="0.2">
      <c r="A840" s="1" t="s">
        <v>2821</v>
      </c>
      <c r="B840" s="2" t="s">
        <v>196</v>
      </c>
      <c r="C840" s="2" t="s">
        <v>2822</v>
      </c>
      <c r="D840" s="2" t="s">
        <v>40</v>
      </c>
      <c r="E840" s="2">
        <v>2021</v>
      </c>
      <c r="F840" s="2" t="s">
        <v>311</v>
      </c>
      <c r="G840" s="2" t="s">
        <v>1669</v>
      </c>
      <c r="H840" s="2" t="s">
        <v>1668</v>
      </c>
      <c r="I840" s="1" t="s">
        <v>2823</v>
      </c>
      <c r="J840" s="1" t="s">
        <v>14</v>
      </c>
      <c r="L840" s="53"/>
      <c r="M840" s="39"/>
      <c r="N840" s="39"/>
      <c r="O840" s="39"/>
      <c r="P840" s="39"/>
      <c r="Q840" s="39"/>
      <c r="R840" s="39"/>
      <c r="S840" s="39"/>
      <c r="T840" s="39"/>
      <c r="U840" s="39"/>
      <c r="V840" s="39"/>
      <c r="W840" s="60" t="s">
        <v>1693</v>
      </c>
    </row>
    <row r="841" spans="1:23" ht="25.5" x14ac:dyDescent="0.2">
      <c r="A841" s="1" t="s">
        <v>331</v>
      </c>
      <c r="B841" s="2" t="s">
        <v>277</v>
      </c>
      <c r="C841" s="2" t="s">
        <v>332</v>
      </c>
      <c r="D841" s="2" t="s">
        <v>333</v>
      </c>
      <c r="E841" s="2">
        <v>2021</v>
      </c>
      <c r="F841" s="2" t="s">
        <v>1789</v>
      </c>
      <c r="G841" s="2" t="s">
        <v>1668</v>
      </c>
      <c r="H841" s="2" t="s">
        <v>1669</v>
      </c>
      <c r="I841" s="1" t="s">
        <v>2824</v>
      </c>
      <c r="J841" s="1" t="s">
        <v>1667</v>
      </c>
      <c r="L841" s="53"/>
      <c r="M841" s="39"/>
      <c r="N841" s="39"/>
      <c r="O841" s="39"/>
      <c r="P841" s="39"/>
      <c r="Q841" s="39"/>
      <c r="R841" s="39"/>
      <c r="S841" s="39"/>
      <c r="T841" s="39"/>
      <c r="U841" s="39"/>
      <c r="V841" s="39"/>
      <c r="W841" s="60" t="s">
        <v>1683</v>
      </c>
    </row>
    <row r="842" spans="1:23" ht="25.5" x14ac:dyDescent="0.2">
      <c r="A842" s="1" t="s">
        <v>331</v>
      </c>
      <c r="B842" s="2" t="s">
        <v>277</v>
      </c>
      <c r="C842" s="2" t="s">
        <v>332</v>
      </c>
      <c r="D842" s="2" t="s">
        <v>333</v>
      </c>
      <c r="E842" s="2">
        <v>2021</v>
      </c>
      <c r="F842" s="2" t="s">
        <v>1794</v>
      </c>
      <c r="G842" s="2" t="s">
        <v>1669</v>
      </c>
      <c r="H842" s="2" t="s">
        <v>1668</v>
      </c>
      <c r="I842" s="1" t="s">
        <v>2825</v>
      </c>
      <c r="J842" s="1" t="s">
        <v>1667</v>
      </c>
      <c r="L842" s="53"/>
      <c r="M842" s="39"/>
      <c r="N842" s="39"/>
      <c r="O842" s="39"/>
      <c r="P842" s="39"/>
      <c r="Q842" s="39"/>
      <c r="R842" s="39"/>
      <c r="S842" s="39"/>
      <c r="T842" s="39"/>
      <c r="U842" s="39"/>
      <c r="V842" s="39"/>
      <c r="W842" s="60" t="s">
        <v>1683</v>
      </c>
    </row>
    <row r="843" spans="1:23" ht="178.5" x14ac:dyDescent="0.2">
      <c r="A843" s="1" t="s">
        <v>469</v>
      </c>
      <c r="B843" s="2" t="s">
        <v>198</v>
      </c>
      <c r="C843" s="2" t="s">
        <v>470</v>
      </c>
      <c r="D843" s="2" t="s">
        <v>240</v>
      </c>
      <c r="E843" s="2">
        <v>2021</v>
      </c>
      <c r="F843" s="2" t="s">
        <v>1796</v>
      </c>
      <c r="G843" s="2" t="s">
        <v>1669</v>
      </c>
      <c r="H843" s="2" t="s">
        <v>1668</v>
      </c>
      <c r="I843" s="1" t="s">
        <v>2826</v>
      </c>
      <c r="J843" s="1" t="s">
        <v>14</v>
      </c>
      <c r="L843" s="53"/>
      <c r="M843" s="39"/>
      <c r="N843" s="39"/>
      <c r="O843" s="39"/>
      <c r="P843" s="39"/>
      <c r="Q843" s="39"/>
      <c r="R843" s="39"/>
      <c r="S843" s="39"/>
      <c r="T843" s="39"/>
      <c r="U843" s="39"/>
      <c r="V843" s="39"/>
      <c r="W843" s="60" t="s">
        <v>1695</v>
      </c>
    </row>
    <row r="844" spans="1:23" ht="89.25" x14ac:dyDescent="0.2">
      <c r="A844" s="1" t="s">
        <v>2827</v>
      </c>
      <c r="B844" s="2" t="s">
        <v>196</v>
      </c>
      <c r="C844" s="2" t="s">
        <v>2828</v>
      </c>
      <c r="D844" s="2" t="s">
        <v>325</v>
      </c>
      <c r="E844" s="2">
        <v>2021</v>
      </c>
      <c r="F844" s="2" t="s">
        <v>311</v>
      </c>
      <c r="G844" s="2" t="s">
        <v>1669</v>
      </c>
      <c r="H844" s="2" t="s">
        <v>1669</v>
      </c>
      <c r="I844" s="1" t="s">
        <v>2829</v>
      </c>
      <c r="J844" s="1" t="s">
        <v>2830</v>
      </c>
      <c r="L844" s="53">
        <v>0.05</v>
      </c>
      <c r="M844" s="39"/>
      <c r="N844" s="39"/>
      <c r="O844" s="39">
        <v>4716</v>
      </c>
      <c r="P844" s="39"/>
      <c r="Q844" s="39"/>
      <c r="R844" s="39"/>
      <c r="S844" s="39"/>
      <c r="T844" s="39"/>
      <c r="U844" s="39"/>
      <c r="V844" s="39"/>
      <c r="W844" s="60" t="s">
        <v>1699</v>
      </c>
    </row>
    <row r="845" spans="1:23" ht="38.25" x14ac:dyDescent="0.2">
      <c r="A845" s="1" t="s">
        <v>250</v>
      </c>
      <c r="B845" s="2" t="s">
        <v>213</v>
      </c>
      <c r="C845" s="2" t="s">
        <v>251</v>
      </c>
      <c r="D845" s="2" t="s">
        <v>239</v>
      </c>
      <c r="E845" s="2">
        <v>2021</v>
      </c>
      <c r="F845" s="2" t="s">
        <v>1794</v>
      </c>
      <c r="G845" s="2" t="s">
        <v>1669</v>
      </c>
      <c r="H845" s="2" t="s">
        <v>1669</v>
      </c>
      <c r="I845" s="1" t="s">
        <v>2831</v>
      </c>
      <c r="J845" s="1" t="s">
        <v>2832</v>
      </c>
      <c r="L845" s="53"/>
      <c r="M845" s="39"/>
      <c r="N845" s="39"/>
      <c r="O845" s="39"/>
      <c r="P845" s="39"/>
      <c r="Q845" s="39"/>
      <c r="R845" s="39"/>
      <c r="S845" s="39"/>
      <c r="T845" s="39"/>
      <c r="U845" s="39"/>
      <c r="V845" s="39">
        <v>34.07</v>
      </c>
      <c r="W845" s="60" t="s">
        <v>1682</v>
      </c>
    </row>
    <row r="846" spans="1:23" ht="76.5" x14ac:dyDescent="0.2">
      <c r="A846" s="1" t="s">
        <v>2833</v>
      </c>
      <c r="B846" s="2" t="s">
        <v>196</v>
      </c>
      <c r="C846" s="2" t="s">
        <v>2834</v>
      </c>
      <c r="D846" s="2" t="s">
        <v>239</v>
      </c>
      <c r="E846" s="2">
        <v>2021</v>
      </c>
      <c r="F846" s="2" t="s">
        <v>1791</v>
      </c>
      <c r="G846" s="2" t="s">
        <v>1669</v>
      </c>
      <c r="H846" s="2" t="s">
        <v>1668</v>
      </c>
      <c r="I846" s="1" t="s">
        <v>2835</v>
      </c>
      <c r="J846" s="1" t="s">
        <v>14</v>
      </c>
      <c r="L846" s="53"/>
      <c r="M846" s="39"/>
      <c r="N846" s="39"/>
      <c r="O846" s="39"/>
      <c r="P846" s="39"/>
      <c r="Q846" s="39"/>
      <c r="R846" s="39"/>
      <c r="S846" s="39"/>
      <c r="T846" s="39"/>
      <c r="U846" s="39"/>
      <c r="V846" s="39"/>
      <c r="W846" s="60" t="s">
        <v>1714</v>
      </c>
    </row>
    <row r="847" spans="1:23" ht="63.75" x14ac:dyDescent="0.2">
      <c r="A847" s="1" t="s">
        <v>2836</v>
      </c>
      <c r="B847" s="2" t="s">
        <v>198</v>
      </c>
      <c r="C847" s="2" t="s">
        <v>2837</v>
      </c>
      <c r="D847" s="2" t="s">
        <v>305</v>
      </c>
      <c r="E847" s="2">
        <v>2021</v>
      </c>
      <c r="F847" s="2" t="s">
        <v>1794</v>
      </c>
      <c r="G847" s="2" t="s">
        <v>1669</v>
      </c>
      <c r="H847" s="2" t="s">
        <v>1669</v>
      </c>
      <c r="I847" s="1" t="s">
        <v>2838</v>
      </c>
      <c r="J847" s="1" t="s">
        <v>2839</v>
      </c>
      <c r="L847" s="53">
        <v>0.04</v>
      </c>
      <c r="M847" s="39"/>
      <c r="N847" s="39"/>
      <c r="O847" s="39">
        <v>840</v>
      </c>
      <c r="P847" s="39"/>
      <c r="Q847" s="39"/>
      <c r="R847" s="39"/>
      <c r="S847" s="39"/>
      <c r="T847" s="39"/>
      <c r="U847" s="39"/>
      <c r="V847" s="39"/>
      <c r="W847" s="60" t="s">
        <v>1699</v>
      </c>
    </row>
    <row r="848" spans="1:23" ht="25.5" x14ac:dyDescent="0.2">
      <c r="A848" s="1" t="s">
        <v>278</v>
      </c>
      <c r="B848" s="2" t="s">
        <v>279</v>
      </c>
      <c r="C848" s="2" t="s">
        <v>280</v>
      </c>
      <c r="D848" s="2" t="s">
        <v>184</v>
      </c>
      <c r="E848" s="2">
        <v>2021</v>
      </c>
      <c r="F848" s="2" t="s">
        <v>1796</v>
      </c>
      <c r="G848" s="2" t="s">
        <v>1669</v>
      </c>
      <c r="H848" s="2" t="s">
        <v>1669</v>
      </c>
      <c r="I848" s="1" t="s">
        <v>2840</v>
      </c>
      <c r="J848" s="1" t="s">
        <v>356</v>
      </c>
      <c r="L848" s="53" t="s">
        <v>1670</v>
      </c>
      <c r="M848" s="39"/>
      <c r="N848" s="39"/>
      <c r="O848" s="39"/>
      <c r="P848" s="39"/>
      <c r="Q848" s="39"/>
      <c r="R848" s="39"/>
      <c r="S848" s="39"/>
      <c r="T848" s="39"/>
      <c r="U848" s="39"/>
      <c r="V848" s="39"/>
      <c r="W848" s="60" t="s">
        <v>1683</v>
      </c>
    </row>
    <row r="849" spans="1:23" ht="165.75" x14ac:dyDescent="0.2">
      <c r="A849" s="1" t="s">
        <v>2841</v>
      </c>
      <c r="B849" s="2" t="s">
        <v>196</v>
      </c>
      <c r="C849" s="2" t="s">
        <v>2842</v>
      </c>
      <c r="D849" s="2" t="s">
        <v>239</v>
      </c>
      <c r="E849" s="2">
        <v>2021</v>
      </c>
      <c r="F849" s="2" t="s">
        <v>1783</v>
      </c>
      <c r="G849" s="2" t="s">
        <v>1669</v>
      </c>
      <c r="H849" s="2" t="s">
        <v>1668</v>
      </c>
      <c r="I849" s="1" t="s">
        <v>2843</v>
      </c>
      <c r="J849" s="1" t="s">
        <v>14</v>
      </c>
      <c r="L849" s="53"/>
      <c r="M849" s="39"/>
      <c r="N849" s="39"/>
      <c r="O849" s="39"/>
      <c r="P849" s="39"/>
      <c r="Q849" s="39"/>
      <c r="R849" s="39"/>
      <c r="S849" s="39"/>
      <c r="T849" s="39"/>
      <c r="U849" s="39"/>
      <c r="V849" s="39"/>
      <c r="W849" s="60" t="s">
        <v>1693</v>
      </c>
    </row>
    <row r="850" spans="1:23" ht="25.5" x14ac:dyDescent="0.2">
      <c r="A850" s="1" t="s">
        <v>1339</v>
      </c>
      <c r="B850" s="2" t="s">
        <v>213</v>
      </c>
      <c r="C850" s="2" t="s">
        <v>1340</v>
      </c>
      <c r="D850" s="2" t="s">
        <v>88</v>
      </c>
      <c r="E850" s="2">
        <v>2021</v>
      </c>
      <c r="F850" s="2" t="s">
        <v>1779</v>
      </c>
      <c r="G850" s="2" t="s">
        <v>1667</v>
      </c>
      <c r="H850" s="2" t="s">
        <v>1669</v>
      </c>
      <c r="I850" s="1" t="s">
        <v>14</v>
      </c>
      <c r="J850" s="1" t="s">
        <v>2844</v>
      </c>
      <c r="L850" s="53" t="s">
        <v>1670</v>
      </c>
      <c r="M850" s="39"/>
      <c r="N850" s="39"/>
      <c r="O850" s="39"/>
      <c r="P850" s="39"/>
      <c r="Q850" s="39"/>
      <c r="R850" s="39"/>
      <c r="S850" s="39"/>
      <c r="T850" s="39"/>
      <c r="U850" s="39"/>
      <c r="V850" s="39">
        <f>2600*0.004546</f>
        <v>11.819599999999999</v>
      </c>
      <c r="W850" s="60" t="s">
        <v>1701</v>
      </c>
    </row>
    <row r="851" spans="1:23" ht="25.5" x14ac:dyDescent="0.2">
      <c r="A851" s="1" t="s">
        <v>1339</v>
      </c>
      <c r="B851" s="2" t="s">
        <v>213</v>
      </c>
      <c r="C851" s="2" t="s">
        <v>1340</v>
      </c>
      <c r="D851" s="2" t="s">
        <v>88</v>
      </c>
      <c r="E851" s="2">
        <v>2021</v>
      </c>
      <c r="F851" s="2" t="s">
        <v>1789</v>
      </c>
      <c r="G851" s="2" t="s">
        <v>1667</v>
      </c>
      <c r="H851" s="2" t="s">
        <v>1669</v>
      </c>
      <c r="I851" s="1" t="s">
        <v>14</v>
      </c>
      <c r="J851" s="1" t="s">
        <v>2845</v>
      </c>
      <c r="L851" s="53" t="s">
        <v>1670</v>
      </c>
      <c r="M851" s="39"/>
      <c r="N851" s="39"/>
      <c r="O851" s="39"/>
      <c r="P851" s="39"/>
      <c r="Q851" s="39"/>
      <c r="R851" s="39"/>
      <c r="S851" s="39"/>
      <c r="T851" s="39"/>
      <c r="U851" s="39"/>
      <c r="V851" s="39">
        <f>3400*0.004546</f>
        <v>15.456399999999999</v>
      </c>
      <c r="W851" s="60" t="s">
        <v>1701</v>
      </c>
    </row>
    <row r="852" spans="1:23" ht="38.25" x14ac:dyDescent="0.2">
      <c r="A852" s="1" t="s">
        <v>1339</v>
      </c>
      <c r="B852" s="2" t="s">
        <v>213</v>
      </c>
      <c r="C852" s="2" t="s">
        <v>1340</v>
      </c>
      <c r="D852" s="2" t="s">
        <v>88</v>
      </c>
      <c r="E852" s="2">
        <v>2021</v>
      </c>
      <c r="F852" s="2" t="s">
        <v>1796</v>
      </c>
      <c r="G852" s="2" t="s">
        <v>1667</v>
      </c>
      <c r="H852" s="2" t="s">
        <v>1669</v>
      </c>
      <c r="I852" s="1" t="s">
        <v>14</v>
      </c>
      <c r="J852" s="1" t="s">
        <v>2846</v>
      </c>
      <c r="L852" s="53" t="s">
        <v>1670</v>
      </c>
      <c r="M852" s="39"/>
      <c r="N852" s="39"/>
      <c r="O852" s="39"/>
      <c r="P852" s="39"/>
      <c r="Q852" s="39"/>
      <c r="R852" s="39"/>
      <c r="S852" s="39"/>
      <c r="T852" s="39"/>
      <c r="U852" s="39"/>
      <c r="V852" s="39">
        <f>3000*0.004546</f>
        <v>13.638</v>
      </c>
      <c r="W852" s="60" t="s">
        <v>1701</v>
      </c>
    </row>
    <row r="853" spans="1:23" ht="25.5" x14ac:dyDescent="0.2">
      <c r="A853" s="1" t="s">
        <v>2847</v>
      </c>
      <c r="B853" s="2" t="s">
        <v>222</v>
      </c>
      <c r="C853" s="2" t="s">
        <v>2848</v>
      </c>
      <c r="D853" s="2" t="s">
        <v>1992</v>
      </c>
      <c r="E853" s="2">
        <v>2021</v>
      </c>
      <c r="F853" s="2" t="s">
        <v>1794</v>
      </c>
      <c r="G853" s="2" t="s">
        <v>1669</v>
      </c>
      <c r="H853" s="2" t="s">
        <v>1669</v>
      </c>
      <c r="I853" s="1" t="s">
        <v>2849</v>
      </c>
      <c r="J853" s="1" t="s">
        <v>2850</v>
      </c>
      <c r="L853" s="53" t="s">
        <v>1670</v>
      </c>
      <c r="M853" s="39"/>
      <c r="N853" s="39"/>
      <c r="O853" s="39"/>
      <c r="P853" s="39"/>
      <c r="Q853" s="39"/>
      <c r="R853" s="39"/>
      <c r="S853" s="39"/>
      <c r="T853" s="39"/>
      <c r="U853" s="39"/>
      <c r="V853" s="39">
        <v>20.64</v>
      </c>
      <c r="W853" s="60"/>
    </row>
    <row r="854" spans="1:23" ht="153" x14ac:dyDescent="0.2">
      <c r="A854" s="1" t="s">
        <v>2851</v>
      </c>
      <c r="B854" s="2" t="s">
        <v>198</v>
      </c>
      <c r="C854" s="2" t="s">
        <v>2852</v>
      </c>
      <c r="D854" s="2" t="s">
        <v>36</v>
      </c>
      <c r="E854" s="2">
        <v>2021</v>
      </c>
      <c r="F854" s="2" t="s">
        <v>1787</v>
      </c>
      <c r="G854" s="2" t="s">
        <v>1669</v>
      </c>
      <c r="H854" s="2" t="s">
        <v>1669</v>
      </c>
      <c r="I854" s="1" t="s">
        <v>2853</v>
      </c>
      <c r="J854" s="1" t="s">
        <v>2854</v>
      </c>
      <c r="L854" s="53">
        <v>4.1000000000000002E-2</v>
      </c>
      <c r="M854" s="39"/>
      <c r="N854" s="39"/>
      <c r="O854" s="39">
        <f>451+613</f>
        <v>1064</v>
      </c>
      <c r="P854" s="39"/>
      <c r="Q854" s="39"/>
      <c r="R854" s="39"/>
      <c r="S854" s="39"/>
      <c r="T854" s="39"/>
      <c r="U854" s="39"/>
      <c r="V854" s="39"/>
      <c r="W854" s="60" t="s">
        <v>1699</v>
      </c>
    </row>
    <row r="855" spans="1:23" ht="25.5" x14ac:dyDescent="0.2">
      <c r="A855" s="1" t="s">
        <v>2855</v>
      </c>
      <c r="B855" s="2" t="s">
        <v>198</v>
      </c>
      <c r="C855" s="2" t="s">
        <v>2856</v>
      </c>
      <c r="D855" s="2" t="s">
        <v>226</v>
      </c>
      <c r="E855" s="2">
        <v>2021</v>
      </c>
      <c r="F855" s="2" t="s">
        <v>1794</v>
      </c>
      <c r="G855" s="2" t="s">
        <v>1669</v>
      </c>
      <c r="H855" s="2" t="s">
        <v>1668</v>
      </c>
      <c r="I855" s="1" t="s">
        <v>2857</v>
      </c>
      <c r="J855" s="1" t="s">
        <v>14</v>
      </c>
      <c r="L855" s="53"/>
      <c r="M855" s="39"/>
      <c r="N855" s="39"/>
      <c r="O855" s="39"/>
      <c r="P855" s="39"/>
      <c r="Q855" s="39"/>
      <c r="R855" s="39"/>
      <c r="S855" s="39"/>
      <c r="T855" s="39"/>
      <c r="U855" s="39"/>
      <c r="V855" s="39"/>
      <c r="W855" s="60" t="s">
        <v>1683</v>
      </c>
    </row>
    <row r="856" spans="1:23" ht="25.5" x14ac:dyDescent="0.2">
      <c r="A856" s="1" t="s">
        <v>2858</v>
      </c>
      <c r="B856" s="2" t="s">
        <v>196</v>
      </c>
      <c r="C856" s="2" t="s">
        <v>2859</v>
      </c>
      <c r="D856" s="2" t="s">
        <v>74</v>
      </c>
      <c r="E856" s="2">
        <v>2021</v>
      </c>
      <c r="F856" s="2" t="s">
        <v>1787</v>
      </c>
      <c r="G856" s="2" t="s">
        <v>1669</v>
      </c>
      <c r="H856" s="2" t="s">
        <v>1669</v>
      </c>
      <c r="I856" s="1" t="s">
        <v>2860</v>
      </c>
      <c r="J856" s="1" t="s">
        <v>2861</v>
      </c>
      <c r="L856" s="53"/>
      <c r="M856" s="39"/>
      <c r="N856" s="39"/>
      <c r="O856" s="39"/>
      <c r="P856" s="39"/>
      <c r="Q856" s="39"/>
      <c r="R856" s="39"/>
      <c r="S856" s="39"/>
      <c r="T856" s="39"/>
      <c r="U856" s="39"/>
      <c r="V856" s="39"/>
      <c r="W856" s="60" t="s">
        <v>2862</v>
      </c>
    </row>
    <row r="857" spans="1:23" ht="76.5" x14ac:dyDescent="0.2">
      <c r="A857" s="1" t="s">
        <v>2858</v>
      </c>
      <c r="B857" s="2" t="s">
        <v>196</v>
      </c>
      <c r="C857" s="2" t="s">
        <v>2859</v>
      </c>
      <c r="D857" s="2" t="s">
        <v>74</v>
      </c>
      <c r="E857" s="2">
        <v>2021</v>
      </c>
      <c r="F857" s="2" t="s">
        <v>1789</v>
      </c>
      <c r="G857" s="2" t="s">
        <v>1669</v>
      </c>
      <c r="H857" s="2" t="s">
        <v>1669</v>
      </c>
      <c r="I857" s="1" t="s">
        <v>2863</v>
      </c>
      <c r="J857" s="1" t="s">
        <v>2864</v>
      </c>
      <c r="L857" s="53">
        <v>0.247</v>
      </c>
      <c r="M857" s="39"/>
      <c r="N857" s="39"/>
      <c r="O857" s="39"/>
      <c r="P857" s="39"/>
      <c r="Q857" s="39"/>
      <c r="R857" s="39">
        <v>527.36</v>
      </c>
      <c r="S857" s="39"/>
      <c r="T857" s="39"/>
      <c r="U857" s="39"/>
      <c r="V857" s="39"/>
      <c r="W857" s="60"/>
    </row>
    <row r="858" spans="1:23" ht="25.5" x14ac:dyDescent="0.2">
      <c r="A858" s="1" t="s">
        <v>37</v>
      </c>
      <c r="B858" s="2" t="s">
        <v>38</v>
      </c>
      <c r="C858" s="2" t="s">
        <v>39</v>
      </c>
      <c r="D858" s="2" t="s">
        <v>40</v>
      </c>
      <c r="E858" s="2">
        <v>2021</v>
      </c>
      <c r="F858" s="2" t="s">
        <v>1776</v>
      </c>
      <c r="G858" s="2" t="s">
        <v>1667</v>
      </c>
      <c r="H858" s="2" t="s">
        <v>1669</v>
      </c>
      <c r="I858" s="1" t="s">
        <v>14</v>
      </c>
      <c r="J858" s="1" t="s">
        <v>2865</v>
      </c>
      <c r="L858" s="53" t="s">
        <v>1670</v>
      </c>
      <c r="M858" s="39"/>
      <c r="N858" s="39"/>
      <c r="O858" s="39"/>
      <c r="P858" s="39"/>
      <c r="Q858" s="39"/>
      <c r="R858" s="39">
        <v>1124</v>
      </c>
      <c r="S858" s="39"/>
      <c r="T858" s="39"/>
      <c r="U858" s="39"/>
      <c r="V858" s="39"/>
      <c r="W858" s="60"/>
    </row>
    <row r="859" spans="1:23" ht="25.5" x14ac:dyDescent="0.2">
      <c r="A859" s="1" t="s">
        <v>37</v>
      </c>
      <c r="B859" s="2" t="s">
        <v>38</v>
      </c>
      <c r="C859" s="2" t="s">
        <v>39</v>
      </c>
      <c r="D859" s="2" t="s">
        <v>40</v>
      </c>
      <c r="E859" s="2">
        <v>2021</v>
      </c>
      <c r="F859" s="2" t="s">
        <v>1779</v>
      </c>
      <c r="G859" s="2" t="s">
        <v>1667</v>
      </c>
      <c r="H859" s="2" t="s">
        <v>1669</v>
      </c>
      <c r="I859" s="1" t="s">
        <v>14</v>
      </c>
      <c r="J859" s="1" t="s">
        <v>2866</v>
      </c>
      <c r="L859" s="53" t="s">
        <v>1670</v>
      </c>
      <c r="M859" s="39"/>
      <c r="N859" s="39"/>
      <c r="O859" s="39"/>
      <c r="P859" s="39"/>
      <c r="Q859" s="39"/>
      <c r="R859" s="39">
        <v>1189</v>
      </c>
      <c r="S859" s="39"/>
      <c r="T859" s="39"/>
      <c r="U859" s="39"/>
      <c r="V859" s="39"/>
      <c r="W859" s="60"/>
    </row>
    <row r="860" spans="1:23" ht="25.5" x14ac:dyDescent="0.2">
      <c r="A860" s="1" t="s">
        <v>37</v>
      </c>
      <c r="B860" s="2" t="s">
        <v>38</v>
      </c>
      <c r="C860" s="2" t="s">
        <v>39</v>
      </c>
      <c r="D860" s="2" t="s">
        <v>40</v>
      </c>
      <c r="E860" s="2">
        <v>2021</v>
      </c>
      <c r="F860" s="2" t="s">
        <v>1781</v>
      </c>
      <c r="G860" s="2" t="s">
        <v>1667</v>
      </c>
      <c r="H860" s="2" t="s">
        <v>1669</v>
      </c>
      <c r="I860" s="1" t="s">
        <v>14</v>
      </c>
      <c r="J860" s="1" t="s">
        <v>2867</v>
      </c>
      <c r="L860" s="53" t="s">
        <v>1670</v>
      </c>
      <c r="M860" s="39"/>
      <c r="N860" s="39"/>
      <c r="O860" s="39"/>
      <c r="P860" s="39"/>
      <c r="Q860" s="39"/>
      <c r="R860" s="39">
        <v>991</v>
      </c>
      <c r="S860" s="39"/>
      <c r="T860" s="39"/>
      <c r="U860" s="39"/>
      <c r="V860" s="39"/>
      <c r="W860" s="60"/>
    </row>
    <row r="861" spans="1:23" ht="25.5" x14ac:dyDescent="0.2">
      <c r="A861" s="1" t="s">
        <v>37</v>
      </c>
      <c r="B861" s="2" t="s">
        <v>38</v>
      </c>
      <c r="C861" s="2" t="s">
        <v>39</v>
      </c>
      <c r="D861" s="2" t="s">
        <v>40</v>
      </c>
      <c r="E861" s="2">
        <v>2021</v>
      </c>
      <c r="F861" s="2" t="s">
        <v>1783</v>
      </c>
      <c r="G861" s="2" t="s">
        <v>1667</v>
      </c>
      <c r="H861" s="2" t="s">
        <v>1669</v>
      </c>
      <c r="I861" s="1" t="s">
        <v>14</v>
      </c>
      <c r="J861" s="1" t="s">
        <v>2868</v>
      </c>
      <c r="L861" s="53" t="s">
        <v>1670</v>
      </c>
      <c r="M861" s="39"/>
      <c r="N861" s="39"/>
      <c r="O861" s="39"/>
      <c r="P861" s="39"/>
      <c r="Q861" s="39"/>
      <c r="R861" s="39">
        <v>1084</v>
      </c>
      <c r="S861" s="39"/>
      <c r="T861" s="39"/>
      <c r="U861" s="39"/>
      <c r="V861" s="39"/>
      <c r="W861" s="60"/>
    </row>
    <row r="862" spans="1:23" ht="25.5" x14ac:dyDescent="0.2">
      <c r="A862" s="1" t="s">
        <v>37</v>
      </c>
      <c r="B862" s="2" t="s">
        <v>38</v>
      </c>
      <c r="C862" s="2" t="s">
        <v>39</v>
      </c>
      <c r="D862" s="2" t="s">
        <v>40</v>
      </c>
      <c r="E862" s="2">
        <v>2021</v>
      </c>
      <c r="F862" s="2" t="s">
        <v>1785</v>
      </c>
      <c r="G862" s="2" t="s">
        <v>1667</v>
      </c>
      <c r="H862" s="2" t="s">
        <v>1669</v>
      </c>
      <c r="I862" s="1" t="s">
        <v>14</v>
      </c>
      <c r="J862" s="1" t="s">
        <v>2869</v>
      </c>
      <c r="L862" s="53" t="s">
        <v>1670</v>
      </c>
      <c r="M862" s="39"/>
      <c r="N862" s="39"/>
      <c r="O862" s="39"/>
      <c r="P862" s="39"/>
      <c r="Q862" s="39"/>
      <c r="R862" s="39">
        <v>1049.3399999999999</v>
      </c>
      <c r="S862" s="39"/>
      <c r="T862" s="39"/>
      <c r="U862" s="39"/>
      <c r="V862" s="39"/>
      <c r="W862" s="60"/>
    </row>
    <row r="863" spans="1:23" ht="25.5" x14ac:dyDescent="0.2">
      <c r="A863" s="1" t="s">
        <v>37</v>
      </c>
      <c r="B863" s="2" t="s">
        <v>38</v>
      </c>
      <c r="C863" s="2" t="s">
        <v>39</v>
      </c>
      <c r="D863" s="2" t="s">
        <v>40</v>
      </c>
      <c r="E863" s="2">
        <v>2021</v>
      </c>
      <c r="F863" s="2" t="s">
        <v>1787</v>
      </c>
      <c r="G863" s="2" t="s">
        <v>1667</v>
      </c>
      <c r="H863" s="2" t="s">
        <v>1669</v>
      </c>
      <c r="I863" s="1" t="s">
        <v>14</v>
      </c>
      <c r="J863" s="1" t="s">
        <v>2870</v>
      </c>
      <c r="L863" s="53" t="s">
        <v>1670</v>
      </c>
      <c r="M863" s="39"/>
      <c r="N863" s="39"/>
      <c r="O863" s="39"/>
      <c r="P863" s="39"/>
      <c r="Q863" s="39"/>
      <c r="R863" s="39">
        <v>1044.2</v>
      </c>
      <c r="S863" s="39"/>
      <c r="T863" s="39"/>
      <c r="U863" s="39"/>
      <c r="V863" s="39"/>
      <c r="W863" s="60"/>
    </row>
    <row r="864" spans="1:23" ht="25.5" x14ac:dyDescent="0.2">
      <c r="A864" s="1" t="s">
        <v>37</v>
      </c>
      <c r="B864" s="2" t="s">
        <v>38</v>
      </c>
      <c r="C864" s="2" t="s">
        <v>39</v>
      </c>
      <c r="D864" s="2" t="s">
        <v>40</v>
      </c>
      <c r="E864" s="2">
        <v>2021</v>
      </c>
      <c r="F864" s="2" t="s">
        <v>1789</v>
      </c>
      <c r="G864" s="2" t="s">
        <v>1667</v>
      </c>
      <c r="H864" s="2" t="s">
        <v>1669</v>
      </c>
      <c r="I864" s="1" t="s">
        <v>14</v>
      </c>
      <c r="J864" s="1" t="s">
        <v>2871</v>
      </c>
      <c r="L864" s="53" t="s">
        <v>1670</v>
      </c>
      <c r="M864" s="39"/>
      <c r="N864" s="39"/>
      <c r="O864" s="39"/>
      <c r="P864" s="39"/>
      <c r="Q864" s="39"/>
      <c r="R864" s="39">
        <v>1099</v>
      </c>
      <c r="S864" s="39"/>
      <c r="T864" s="39"/>
      <c r="U864" s="39"/>
      <c r="V864" s="39"/>
      <c r="W864" s="60"/>
    </row>
    <row r="865" spans="1:23" ht="25.5" x14ac:dyDescent="0.2">
      <c r="A865" s="1" t="s">
        <v>37</v>
      </c>
      <c r="B865" s="2" t="s">
        <v>38</v>
      </c>
      <c r="C865" s="2" t="s">
        <v>39</v>
      </c>
      <c r="D865" s="2" t="s">
        <v>40</v>
      </c>
      <c r="E865" s="2">
        <v>2021</v>
      </c>
      <c r="F865" s="2" t="s">
        <v>1791</v>
      </c>
      <c r="G865" s="2" t="s">
        <v>1667</v>
      </c>
      <c r="H865" s="2" t="s">
        <v>1669</v>
      </c>
      <c r="I865" s="1" t="s">
        <v>14</v>
      </c>
      <c r="J865" s="1" t="s">
        <v>2872</v>
      </c>
      <c r="L865" s="53" t="s">
        <v>1670</v>
      </c>
      <c r="M865" s="39"/>
      <c r="N865" s="39"/>
      <c r="O865" s="39"/>
      <c r="P865" s="39"/>
      <c r="Q865" s="39"/>
      <c r="R865" s="39">
        <v>894</v>
      </c>
      <c r="S865" s="39"/>
      <c r="T865" s="39"/>
      <c r="U865" s="39"/>
      <c r="V865" s="39"/>
      <c r="W865" s="60"/>
    </row>
    <row r="866" spans="1:23" ht="25.5" x14ac:dyDescent="0.2">
      <c r="A866" s="1" t="s">
        <v>37</v>
      </c>
      <c r="B866" s="2" t="s">
        <v>38</v>
      </c>
      <c r="C866" s="2" t="s">
        <v>39</v>
      </c>
      <c r="D866" s="2" t="s">
        <v>40</v>
      </c>
      <c r="E866" s="2">
        <v>2021</v>
      </c>
      <c r="F866" s="2" t="s">
        <v>311</v>
      </c>
      <c r="G866" s="2" t="s">
        <v>1667</v>
      </c>
      <c r="H866" s="2" t="s">
        <v>1669</v>
      </c>
      <c r="I866" s="1" t="s">
        <v>14</v>
      </c>
      <c r="J866" s="1" t="s">
        <v>2873</v>
      </c>
      <c r="L866" s="53" t="s">
        <v>1670</v>
      </c>
      <c r="M866" s="39"/>
      <c r="N866" s="39"/>
      <c r="O866" s="39"/>
      <c r="P866" s="39"/>
      <c r="Q866" s="39"/>
      <c r="R866" s="39">
        <v>637</v>
      </c>
      <c r="S866" s="39"/>
      <c r="T866" s="39"/>
      <c r="U866" s="39"/>
      <c r="V866" s="39"/>
      <c r="W866" s="60"/>
    </row>
    <row r="867" spans="1:23" ht="25.5" x14ac:dyDescent="0.2">
      <c r="A867" s="1" t="s">
        <v>37</v>
      </c>
      <c r="B867" s="2" t="s">
        <v>38</v>
      </c>
      <c r="C867" s="2" t="s">
        <v>39</v>
      </c>
      <c r="D867" s="2" t="s">
        <v>40</v>
      </c>
      <c r="E867" s="2">
        <v>2021</v>
      </c>
      <c r="F867" s="2" t="s">
        <v>1794</v>
      </c>
      <c r="G867" s="2" t="s">
        <v>1667</v>
      </c>
      <c r="H867" s="2" t="s">
        <v>1669</v>
      </c>
      <c r="I867" s="1" t="s">
        <v>14</v>
      </c>
      <c r="J867" s="1" t="s">
        <v>2874</v>
      </c>
      <c r="L867" s="53" t="s">
        <v>1670</v>
      </c>
      <c r="M867" s="39"/>
      <c r="N867" s="39"/>
      <c r="O867" s="39"/>
      <c r="P867" s="39"/>
      <c r="Q867" s="39"/>
      <c r="R867" s="39">
        <v>721.7</v>
      </c>
      <c r="S867" s="39"/>
      <c r="T867" s="39"/>
      <c r="U867" s="39"/>
      <c r="V867" s="39"/>
      <c r="W867" s="60"/>
    </row>
    <row r="868" spans="1:23" ht="25.5" x14ac:dyDescent="0.2">
      <c r="A868" s="1" t="s">
        <v>37</v>
      </c>
      <c r="B868" s="2" t="s">
        <v>38</v>
      </c>
      <c r="C868" s="2" t="s">
        <v>39</v>
      </c>
      <c r="D868" s="2" t="s">
        <v>40</v>
      </c>
      <c r="E868" s="2">
        <v>2021</v>
      </c>
      <c r="F868" s="2" t="s">
        <v>1796</v>
      </c>
      <c r="G868" s="2" t="s">
        <v>1667</v>
      </c>
      <c r="H868" s="2" t="s">
        <v>1669</v>
      </c>
      <c r="I868" s="1" t="s">
        <v>14</v>
      </c>
      <c r="J868" s="1" t="s">
        <v>2875</v>
      </c>
      <c r="L868" s="53" t="s">
        <v>1670</v>
      </c>
      <c r="M868" s="39"/>
      <c r="N868" s="39"/>
      <c r="O868" s="39"/>
      <c r="P868" s="39"/>
      <c r="Q868" s="39"/>
      <c r="R868" s="39">
        <v>656.51</v>
      </c>
      <c r="S868" s="39"/>
      <c r="T868" s="39"/>
      <c r="U868" s="39"/>
      <c r="V868" s="39"/>
      <c r="W868" s="60"/>
    </row>
    <row r="869" spans="1:23" ht="63.75" x14ac:dyDescent="0.2">
      <c r="A869" s="1" t="s">
        <v>2876</v>
      </c>
      <c r="B869" s="2" t="s">
        <v>196</v>
      </c>
      <c r="C869" s="2" t="s">
        <v>2877</v>
      </c>
      <c r="D869" s="2" t="s">
        <v>2878</v>
      </c>
      <c r="E869" s="2">
        <v>2021</v>
      </c>
      <c r="F869" s="2" t="s">
        <v>1794</v>
      </c>
      <c r="G869" s="2" t="s">
        <v>1669</v>
      </c>
      <c r="H869" s="2" t="s">
        <v>1669</v>
      </c>
      <c r="I869" s="1" t="s">
        <v>2879</v>
      </c>
      <c r="J869" s="1" t="s">
        <v>2880</v>
      </c>
      <c r="L869" s="53">
        <v>0.37469999999999998</v>
      </c>
      <c r="M869" s="39"/>
      <c r="N869" s="39"/>
      <c r="O869" s="39">
        <f>2032/L869</f>
        <v>5423.0050707232458</v>
      </c>
      <c r="P869" s="39"/>
      <c r="Q869" s="39"/>
      <c r="R869" s="39"/>
      <c r="S869" s="39"/>
      <c r="T869" s="39"/>
      <c r="U869" s="39"/>
      <c r="V869" s="39"/>
      <c r="W869" s="60"/>
    </row>
    <row r="870" spans="1:23" ht="76.5" x14ac:dyDescent="0.2">
      <c r="A870" s="1" t="s">
        <v>2876</v>
      </c>
      <c r="B870" s="2" t="s">
        <v>196</v>
      </c>
      <c r="C870" s="2" t="s">
        <v>2877</v>
      </c>
      <c r="D870" s="2" t="s">
        <v>2878</v>
      </c>
      <c r="E870" s="2">
        <v>2021</v>
      </c>
      <c r="F870" s="2" t="s">
        <v>1796</v>
      </c>
      <c r="G870" s="2" t="s">
        <v>1669</v>
      </c>
      <c r="H870" s="2" t="s">
        <v>1669</v>
      </c>
      <c r="I870" s="1" t="s">
        <v>2881</v>
      </c>
      <c r="J870" s="1" t="s">
        <v>2882</v>
      </c>
      <c r="L870" s="53"/>
      <c r="M870" s="39"/>
      <c r="N870" s="39"/>
      <c r="O870" s="39"/>
      <c r="P870" s="39"/>
      <c r="Q870" s="39"/>
      <c r="R870" s="39"/>
      <c r="S870" s="39"/>
      <c r="T870" s="39"/>
      <c r="U870" s="39"/>
      <c r="V870" s="39"/>
      <c r="W870" s="60" t="s">
        <v>2883</v>
      </c>
    </row>
    <row r="871" spans="1:23" ht="25.5" x14ac:dyDescent="0.2">
      <c r="A871" s="1" t="s">
        <v>153</v>
      </c>
      <c r="B871" s="2" t="s">
        <v>24</v>
      </c>
      <c r="C871" s="2" t="s">
        <v>154</v>
      </c>
      <c r="D871" s="2" t="s">
        <v>155</v>
      </c>
      <c r="E871" s="2">
        <v>2021</v>
      </c>
      <c r="F871" s="2" t="s">
        <v>1776</v>
      </c>
      <c r="G871" s="2" t="s">
        <v>1667</v>
      </c>
      <c r="H871" s="2" t="s">
        <v>1669</v>
      </c>
      <c r="I871" s="1" t="s">
        <v>14</v>
      </c>
      <c r="J871" s="1" t="s">
        <v>2884</v>
      </c>
      <c r="L871" s="53">
        <v>0.41</v>
      </c>
      <c r="M871" s="39"/>
      <c r="N871" s="39"/>
      <c r="O871" s="39">
        <v>1195.7</v>
      </c>
      <c r="P871" s="39"/>
      <c r="Q871" s="39"/>
      <c r="R871" s="39"/>
      <c r="S871" s="39"/>
      <c r="T871" s="39"/>
      <c r="U871" s="39"/>
      <c r="V871" s="39"/>
      <c r="W871" s="60" t="s">
        <v>1681</v>
      </c>
    </row>
    <row r="872" spans="1:23" ht="25.5" x14ac:dyDescent="0.2">
      <c r="A872" s="1" t="s">
        <v>153</v>
      </c>
      <c r="B872" s="2" t="s">
        <v>24</v>
      </c>
      <c r="C872" s="2" t="s">
        <v>154</v>
      </c>
      <c r="D872" s="2" t="s">
        <v>155</v>
      </c>
      <c r="E872" s="2">
        <v>2021</v>
      </c>
      <c r="F872" s="2" t="s">
        <v>1779</v>
      </c>
      <c r="G872" s="2" t="s">
        <v>1667</v>
      </c>
      <c r="H872" s="2" t="s">
        <v>1669</v>
      </c>
      <c r="I872" s="1" t="s">
        <v>14</v>
      </c>
      <c r="J872" s="1" t="s">
        <v>2885</v>
      </c>
      <c r="L872" s="53">
        <v>0.40600000000000003</v>
      </c>
      <c r="M872" s="39"/>
      <c r="N872" s="39"/>
      <c r="O872" s="39">
        <v>1217.8</v>
      </c>
      <c r="P872" s="39"/>
      <c r="Q872" s="39"/>
      <c r="R872" s="39"/>
      <c r="S872" s="39"/>
      <c r="T872" s="39"/>
      <c r="U872" s="39"/>
      <c r="V872" s="39"/>
      <c r="W872" s="60" t="s">
        <v>1681</v>
      </c>
    </row>
    <row r="873" spans="1:23" ht="25.5" x14ac:dyDescent="0.2">
      <c r="A873" s="1" t="s">
        <v>153</v>
      </c>
      <c r="B873" s="2" t="s">
        <v>24</v>
      </c>
      <c r="C873" s="2" t="s">
        <v>154</v>
      </c>
      <c r="D873" s="2" t="s">
        <v>155</v>
      </c>
      <c r="E873" s="2">
        <v>2021</v>
      </c>
      <c r="F873" s="2" t="s">
        <v>1781</v>
      </c>
      <c r="G873" s="2" t="s">
        <v>1667</v>
      </c>
      <c r="H873" s="2" t="s">
        <v>1669</v>
      </c>
      <c r="I873" s="1" t="s">
        <v>14</v>
      </c>
      <c r="J873" s="1" t="s">
        <v>2886</v>
      </c>
      <c r="L873" s="53">
        <v>0.44600000000000001</v>
      </c>
      <c r="M873" s="39"/>
      <c r="N873" s="39"/>
      <c r="O873" s="39">
        <v>1437.5</v>
      </c>
      <c r="P873" s="39"/>
      <c r="Q873" s="39"/>
      <c r="R873" s="39"/>
      <c r="S873" s="39"/>
      <c r="T873" s="39"/>
      <c r="U873" s="39"/>
      <c r="V873" s="39"/>
      <c r="W873" s="60" t="s">
        <v>1681</v>
      </c>
    </row>
    <row r="874" spans="1:23" ht="25.5" x14ac:dyDescent="0.2">
      <c r="A874" s="1" t="s">
        <v>153</v>
      </c>
      <c r="B874" s="2" t="s">
        <v>24</v>
      </c>
      <c r="C874" s="2" t="s">
        <v>154</v>
      </c>
      <c r="D874" s="2" t="s">
        <v>155</v>
      </c>
      <c r="E874" s="2">
        <v>2021</v>
      </c>
      <c r="F874" s="2" t="s">
        <v>1783</v>
      </c>
      <c r="G874" s="2" t="s">
        <v>1667</v>
      </c>
      <c r="H874" s="2" t="s">
        <v>1669</v>
      </c>
      <c r="I874" s="1" t="s">
        <v>14</v>
      </c>
      <c r="J874" s="1" t="s">
        <v>2887</v>
      </c>
      <c r="L874" s="53">
        <v>0.42</v>
      </c>
      <c r="M874" s="39"/>
      <c r="N874" s="39"/>
      <c r="O874" s="39">
        <v>1300.0999999999999</v>
      </c>
      <c r="P874" s="39"/>
      <c r="Q874" s="39"/>
      <c r="R874" s="39"/>
      <c r="S874" s="39"/>
      <c r="T874" s="39"/>
      <c r="U874" s="39"/>
      <c r="V874" s="39"/>
      <c r="W874" s="60" t="s">
        <v>1681</v>
      </c>
    </row>
    <row r="875" spans="1:23" ht="25.5" x14ac:dyDescent="0.2">
      <c r="A875" s="1" t="s">
        <v>153</v>
      </c>
      <c r="B875" s="2" t="s">
        <v>24</v>
      </c>
      <c r="C875" s="2" t="s">
        <v>154</v>
      </c>
      <c r="D875" s="2" t="s">
        <v>155</v>
      </c>
      <c r="E875" s="2">
        <v>2021</v>
      </c>
      <c r="F875" s="2" t="s">
        <v>1785</v>
      </c>
      <c r="G875" s="2" t="s">
        <v>1667</v>
      </c>
      <c r="H875" s="2" t="s">
        <v>1669</v>
      </c>
      <c r="I875" s="1" t="s">
        <v>14</v>
      </c>
      <c r="J875" s="1" t="s">
        <v>2888</v>
      </c>
      <c r="L875" s="53">
        <v>0.434</v>
      </c>
      <c r="M875" s="39"/>
      <c r="N875" s="39"/>
      <c r="O875" s="39">
        <v>1408.4</v>
      </c>
      <c r="P875" s="39"/>
      <c r="Q875" s="39"/>
      <c r="R875" s="39"/>
      <c r="S875" s="39"/>
      <c r="T875" s="39"/>
      <c r="U875" s="39"/>
      <c r="V875" s="39"/>
      <c r="W875" s="60" t="s">
        <v>1681</v>
      </c>
    </row>
    <row r="876" spans="1:23" ht="38.25" x14ac:dyDescent="0.2">
      <c r="A876" s="1" t="s">
        <v>153</v>
      </c>
      <c r="B876" s="2" t="s">
        <v>24</v>
      </c>
      <c r="C876" s="2" t="s">
        <v>154</v>
      </c>
      <c r="D876" s="2" t="s">
        <v>155</v>
      </c>
      <c r="E876" s="2">
        <v>2021</v>
      </c>
      <c r="F876" s="2" t="s">
        <v>1787</v>
      </c>
      <c r="G876" s="2" t="s">
        <v>1667</v>
      </c>
      <c r="H876" s="2" t="s">
        <v>1669</v>
      </c>
      <c r="I876" s="1" t="s">
        <v>14</v>
      </c>
      <c r="J876" s="1" t="s">
        <v>2889</v>
      </c>
      <c r="L876" s="53">
        <v>0.41199999999999998</v>
      </c>
      <c r="M876" s="39"/>
      <c r="N876" s="39"/>
      <c r="O876" s="39">
        <v>1568.8</v>
      </c>
      <c r="P876" s="39"/>
      <c r="Q876" s="39"/>
      <c r="R876" s="39"/>
      <c r="S876" s="39"/>
      <c r="T876" s="39"/>
      <c r="U876" s="39"/>
      <c r="V876" s="39"/>
      <c r="W876" s="60" t="s">
        <v>1681</v>
      </c>
    </row>
    <row r="877" spans="1:23" ht="25.5" x14ac:dyDescent="0.2">
      <c r="A877" s="1" t="s">
        <v>153</v>
      </c>
      <c r="B877" s="2" t="s">
        <v>24</v>
      </c>
      <c r="C877" s="2" t="s">
        <v>154</v>
      </c>
      <c r="D877" s="2" t="s">
        <v>155</v>
      </c>
      <c r="E877" s="2">
        <v>2021</v>
      </c>
      <c r="F877" s="2" t="s">
        <v>1789</v>
      </c>
      <c r="G877" s="2" t="s">
        <v>1667</v>
      </c>
      <c r="H877" s="2" t="s">
        <v>1669</v>
      </c>
      <c r="I877" s="1" t="s">
        <v>14</v>
      </c>
      <c r="J877" s="1" t="s">
        <v>2890</v>
      </c>
      <c r="L877" s="53">
        <v>0.40799999999999997</v>
      </c>
      <c r="M877" s="39"/>
      <c r="N877" s="39"/>
      <c r="O877" s="39">
        <v>1493.2</v>
      </c>
      <c r="P877" s="39"/>
      <c r="Q877" s="39"/>
      <c r="R877" s="39"/>
      <c r="S877" s="39"/>
      <c r="T877" s="39"/>
      <c r="U877" s="39"/>
      <c r="V877" s="39"/>
      <c r="W877" s="60" t="s">
        <v>1681</v>
      </c>
    </row>
    <row r="878" spans="1:23" ht="38.25" x14ac:dyDescent="0.2">
      <c r="A878" s="1" t="s">
        <v>153</v>
      </c>
      <c r="B878" s="2" t="s">
        <v>24</v>
      </c>
      <c r="C878" s="2" t="s">
        <v>154</v>
      </c>
      <c r="D878" s="2" t="s">
        <v>155</v>
      </c>
      <c r="E878" s="2">
        <v>2021</v>
      </c>
      <c r="F878" s="2" t="s">
        <v>1791</v>
      </c>
      <c r="G878" s="2" t="s">
        <v>1667</v>
      </c>
      <c r="H878" s="2" t="s">
        <v>1669</v>
      </c>
      <c r="I878" s="1" t="s">
        <v>14</v>
      </c>
      <c r="J878" s="1" t="s">
        <v>2891</v>
      </c>
      <c r="L878" s="53">
        <v>0.41299999999999998</v>
      </c>
      <c r="M878" s="39"/>
      <c r="N878" s="39"/>
      <c r="O878" s="39">
        <v>1386.4</v>
      </c>
      <c r="P878" s="39"/>
      <c r="Q878" s="39"/>
      <c r="R878" s="39"/>
      <c r="S878" s="39"/>
      <c r="T878" s="39"/>
      <c r="U878" s="39"/>
      <c r="V878" s="39"/>
      <c r="W878" s="60" t="s">
        <v>1681</v>
      </c>
    </row>
    <row r="879" spans="1:23" ht="25.5" x14ac:dyDescent="0.2">
      <c r="A879" s="1" t="s">
        <v>153</v>
      </c>
      <c r="B879" s="2" t="s">
        <v>24</v>
      </c>
      <c r="C879" s="2" t="s">
        <v>154</v>
      </c>
      <c r="D879" s="2" t="s">
        <v>155</v>
      </c>
      <c r="E879" s="2">
        <v>2021</v>
      </c>
      <c r="F879" s="2" t="s">
        <v>311</v>
      </c>
      <c r="G879" s="2" t="s">
        <v>1667</v>
      </c>
      <c r="H879" s="2" t="s">
        <v>1669</v>
      </c>
      <c r="I879" s="1" t="s">
        <v>14</v>
      </c>
      <c r="J879" s="1" t="s">
        <v>2892</v>
      </c>
      <c r="L879" s="53">
        <v>0.41299999999999998</v>
      </c>
      <c r="M879" s="39"/>
      <c r="N879" s="39"/>
      <c r="O879" s="39">
        <v>1394.2</v>
      </c>
      <c r="P879" s="39"/>
      <c r="Q879" s="39"/>
      <c r="R879" s="39"/>
      <c r="S879" s="39"/>
      <c r="T879" s="39"/>
      <c r="U879" s="39"/>
      <c r="V879" s="39"/>
      <c r="W879" s="60" t="s">
        <v>1681</v>
      </c>
    </row>
    <row r="880" spans="1:23" ht="38.25" x14ac:dyDescent="0.2">
      <c r="A880" s="1" t="s">
        <v>153</v>
      </c>
      <c r="B880" s="2" t="s">
        <v>24</v>
      </c>
      <c r="C880" s="2" t="s">
        <v>154</v>
      </c>
      <c r="D880" s="2" t="s">
        <v>155</v>
      </c>
      <c r="E880" s="2">
        <v>2021</v>
      </c>
      <c r="F880" s="2" t="s">
        <v>1794</v>
      </c>
      <c r="G880" s="2" t="s">
        <v>1667</v>
      </c>
      <c r="H880" s="2" t="s">
        <v>1669</v>
      </c>
      <c r="I880" s="1" t="s">
        <v>14</v>
      </c>
      <c r="J880" s="1" t="s">
        <v>2893</v>
      </c>
      <c r="L880" s="53">
        <v>0.41599999999999998</v>
      </c>
      <c r="M880" s="39"/>
      <c r="N880" s="39"/>
      <c r="O880" s="39">
        <v>1359.8</v>
      </c>
      <c r="P880" s="39"/>
      <c r="Q880" s="39"/>
      <c r="R880" s="39"/>
      <c r="S880" s="39"/>
      <c r="T880" s="39"/>
      <c r="U880" s="39"/>
      <c r="V880" s="39"/>
      <c r="W880" s="60" t="s">
        <v>1681</v>
      </c>
    </row>
    <row r="881" spans="1:23" ht="25.5" x14ac:dyDescent="0.2">
      <c r="A881" s="1" t="s">
        <v>153</v>
      </c>
      <c r="B881" s="2" t="s">
        <v>24</v>
      </c>
      <c r="C881" s="2" t="s">
        <v>154</v>
      </c>
      <c r="D881" s="2" t="s">
        <v>155</v>
      </c>
      <c r="E881" s="2">
        <v>2021</v>
      </c>
      <c r="F881" s="2" t="s">
        <v>1796</v>
      </c>
      <c r="G881" s="2" t="s">
        <v>1667</v>
      </c>
      <c r="H881" s="2" t="s">
        <v>1669</v>
      </c>
      <c r="I881" s="1" t="s">
        <v>14</v>
      </c>
      <c r="J881" s="1" t="s">
        <v>2894</v>
      </c>
      <c r="L881" s="53">
        <v>0.42499999999999999</v>
      </c>
      <c r="M881" s="39"/>
      <c r="N881" s="39"/>
      <c r="O881" s="39">
        <v>1184.3</v>
      </c>
      <c r="P881" s="39"/>
      <c r="Q881" s="39"/>
      <c r="R881" s="39"/>
      <c r="S881" s="39"/>
      <c r="T881" s="39"/>
      <c r="U881" s="39"/>
      <c r="V881" s="39"/>
      <c r="W881" s="60" t="s">
        <v>1681</v>
      </c>
    </row>
    <row r="882" spans="1:23" ht="25.5" x14ac:dyDescent="0.2">
      <c r="A882" s="1" t="s">
        <v>153</v>
      </c>
      <c r="B882" s="2" t="s">
        <v>24</v>
      </c>
      <c r="C882" s="2" t="s">
        <v>154</v>
      </c>
      <c r="D882" s="2" t="s">
        <v>155</v>
      </c>
      <c r="E882" s="2">
        <v>2021</v>
      </c>
      <c r="F882" s="2" t="s">
        <v>1798</v>
      </c>
      <c r="G882" s="2" t="s">
        <v>1667</v>
      </c>
      <c r="H882" s="2" t="s">
        <v>1669</v>
      </c>
      <c r="I882" s="1" t="s">
        <v>14</v>
      </c>
      <c r="J882" s="1" t="s">
        <v>2895</v>
      </c>
      <c r="L882" s="53">
        <v>0.41</v>
      </c>
      <c r="M882" s="39"/>
      <c r="N882" s="39"/>
      <c r="O882" s="39">
        <v>1294.4000000000001</v>
      </c>
      <c r="P882" s="39"/>
      <c r="Q882" s="39"/>
      <c r="R882" s="39"/>
      <c r="S882" s="39"/>
      <c r="T882" s="39"/>
      <c r="U882" s="39"/>
      <c r="V882" s="39"/>
      <c r="W882" s="60" t="s">
        <v>1681</v>
      </c>
    </row>
    <row r="883" spans="1:23" ht="51" x14ac:dyDescent="0.2">
      <c r="A883" s="1" t="s">
        <v>2896</v>
      </c>
      <c r="B883" s="2" t="s">
        <v>196</v>
      </c>
      <c r="C883" s="2" t="s">
        <v>154</v>
      </c>
      <c r="D883" s="2" t="s">
        <v>155</v>
      </c>
      <c r="E883" s="2">
        <v>2021</v>
      </c>
      <c r="F883" s="2" t="s">
        <v>311</v>
      </c>
      <c r="G883" s="2" t="s">
        <v>1669</v>
      </c>
      <c r="H883" s="2" t="s">
        <v>1669</v>
      </c>
      <c r="I883" s="1" t="s">
        <v>2897</v>
      </c>
      <c r="J883" s="1" t="s">
        <v>2898</v>
      </c>
      <c r="L883" s="53">
        <v>0.27200000000000002</v>
      </c>
      <c r="M883" s="39"/>
      <c r="N883" s="39"/>
      <c r="O883" s="39">
        <v>161.41999999999999</v>
      </c>
      <c r="P883" s="39"/>
      <c r="Q883" s="39"/>
      <c r="R883" s="39"/>
      <c r="S883" s="39"/>
      <c r="T883" s="39"/>
      <c r="U883" s="39"/>
      <c r="V883" s="39"/>
      <c r="W883" s="60"/>
    </row>
    <row r="884" spans="1:23" ht="25.5" x14ac:dyDescent="0.2">
      <c r="A884" s="1" t="s">
        <v>159</v>
      </c>
      <c r="B884" s="2" t="s">
        <v>38</v>
      </c>
      <c r="C884" s="2" t="s">
        <v>154</v>
      </c>
      <c r="D884" s="2" t="s">
        <v>155</v>
      </c>
      <c r="E884" s="2">
        <v>2021</v>
      </c>
      <c r="F884" s="2" t="s">
        <v>1776</v>
      </c>
      <c r="G884" s="2" t="s">
        <v>1667</v>
      </c>
      <c r="H884" s="2" t="s">
        <v>1669</v>
      </c>
      <c r="I884" s="1" t="s">
        <v>14</v>
      </c>
      <c r="J884" s="1" t="s">
        <v>2899</v>
      </c>
      <c r="L884" s="53"/>
      <c r="M884" s="39"/>
      <c r="N884" s="39"/>
      <c r="O884" s="39"/>
      <c r="P884" s="39"/>
      <c r="Q884" s="39"/>
      <c r="R884" s="39"/>
      <c r="S884" s="39"/>
      <c r="T884" s="39"/>
      <c r="U884" s="39"/>
      <c r="V884" s="39"/>
      <c r="W884" s="60" t="s">
        <v>1718</v>
      </c>
    </row>
    <row r="885" spans="1:23" ht="25.5" x14ac:dyDescent="0.2">
      <c r="A885" s="1" t="s">
        <v>159</v>
      </c>
      <c r="B885" s="2" t="s">
        <v>38</v>
      </c>
      <c r="C885" s="2" t="s">
        <v>154</v>
      </c>
      <c r="D885" s="2" t="s">
        <v>155</v>
      </c>
      <c r="E885" s="2">
        <v>2021</v>
      </c>
      <c r="F885" s="2" t="s">
        <v>1779</v>
      </c>
      <c r="G885" s="2" t="s">
        <v>1667</v>
      </c>
      <c r="H885" s="2" t="s">
        <v>1669</v>
      </c>
      <c r="I885" s="1" t="s">
        <v>14</v>
      </c>
      <c r="J885" s="1" t="s">
        <v>2900</v>
      </c>
      <c r="L885" s="53"/>
      <c r="M885" s="39"/>
      <c r="N885" s="39"/>
      <c r="O885" s="39"/>
      <c r="P885" s="39"/>
      <c r="Q885" s="39"/>
      <c r="R885" s="39"/>
      <c r="S885" s="39"/>
      <c r="T885" s="39"/>
      <c r="U885" s="39"/>
      <c r="V885" s="39"/>
      <c r="W885" s="60" t="s">
        <v>1718</v>
      </c>
    </row>
    <row r="886" spans="1:23" ht="25.5" x14ac:dyDescent="0.2">
      <c r="A886" s="1" t="s">
        <v>159</v>
      </c>
      <c r="B886" s="2" t="s">
        <v>38</v>
      </c>
      <c r="C886" s="2" t="s">
        <v>154</v>
      </c>
      <c r="D886" s="2" t="s">
        <v>155</v>
      </c>
      <c r="E886" s="2">
        <v>2021</v>
      </c>
      <c r="F886" s="2" t="s">
        <v>1781</v>
      </c>
      <c r="G886" s="2" t="s">
        <v>1667</v>
      </c>
      <c r="H886" s="2" t="s">
        <v>1669</v>
      </c>
      <c r="I886" s="1" t="s">
        <v>14</v>
      </c>
      <c r="J886" s="1" t="s">
        <v>2901</v>
      </c>
      <c r="L886" s="53"/>
      <c r="M886" s="39"/>
      <c r="N886" s="39"/>
      <c r="O886" s="39"/>
      <c r="P886" s="39"/>
      <c r="Q886" s="39"/>
      <c r="R886" s="39"/>
      <c r="S886" s="39"/>
      <c r="T886" s="39"/>
      <c r="U886" s="39"/>
      <c r="V886" s="39"/>
      <c r="W886" s="60" t="s">
        <v>1718</v>
      </c>
    </row>
    <row r="887" spans="1:23" ht="25.5" x14ac:dyDescent="0.2">
      <c r="A887" s="1" t="s">
        <v>159</v>
      </c>
      <c r="B887" s="2" t="s">
        <v>38</v>
      </c>
      <c r="C887" s="2" t="s">
        <v>154</v>
      </c>
      <c r="D887" s="2" t="s">
        <v>155</v>
      </c>
      <c r="E887" s="2">
        <v>2021</v>
      </c>
      <c r="F887" s="2" t="s">
        <v>1783</v>
      </c>
      <c r="G887" s="2" t="s">
        <v>1667</v>
      </c>
      <c r="H887" s="2" t="s">
        <v>1669</v>
      </c>
      <c r="I887" s="1" t="s">
        <v>14</v>
      </c>
      <c r="J887" s="1" t="s">
        <v>2902</v>
      </c>
      <c r="L887" s="53"/>
      <c r="M887" s="39"/>
      <c r="N887" s="39"/>
      <c r="O887" s="39"/>
      <c r="P887" s="39"/>
      <c r="Q887" s="39"/>
      <c r="R887" s="39"/>
      <c r="S887" s="39"/>
      <c r="T887" s="39"/>
      <c r="U887" s="39"/>
      <c r="V887" s="39"/>
      <c r="W887" s="60" t="s">
        <v>1718</v>
      </c>
    </row>
    <row r="888" spans="1:23" ht="25.5" x14ac:dyDescent="0.2">
      <c r="A888" s="1" t="s">
        <v>159</v>
      </c>
      <c r="B888" s="2" t="s">
        <v>38</v>
      </c>
      <c r="C888" s="2" t="s">
        <v>154</v>
      </c>
      <c r="D888" s="2" t="s">
        <v>155</v>
      </c>
      <c r="E888" s="2">
        <v>2021</v>
      </c>
      <c r="F888" s="2" t="s">
        <v>1785</v>
      </c>
      <c r="G888" s="2" t="s">
        <v>1667</v>
      </c>
      <c r="H888" s="2" t="s">
        <v>1669</v>
      </c>
      <c r="I888" s="1" t="s">
        <v>14</v>
      </c>
      <c r="J888" s="1" t="s">
        <v>2903</v>
      </c>
      <c r="L888" s="53"/>
      <c r="M888" s="39"/>
      <c r="N888" s="39"/>
      <c r="O888" s="39"/>
      <c r="P888" s="39"/>
      <c r="Q888" s="39"/>
      <c r="R888" s="39"/>
      <c r="S888" s="39"/>
      <c r="T888" s="39"/>
      <c r="U888" s="39"/>
      <c r="V888" s="39"/>
      <c r="W888" s="60" t="s">
        <v>1718</v>
      </c>
    </row>
    <row r="889" spans="1:23" ht="25.5" x14ac:dyDescent="0.2">
      <c r="A889" s="1" t="s">
        <v>159</v>
      </c>
      <c r="B889" s="2" t="s">
        <v>38</v>
      </c>
      <c r="C889" s="2" t="s">
        <v>154</v>
      </c>
      <c r="D889" s="2" t="s">
        <v>155</v>
      </c>
      <c r="E889" s="2">
        <v>2021</v>
      </c>
      <c r="F889" s="2" t="s">
        <v>1787</v>
      </c>
      <c r="G889" s="2" t="s">
        <v>1667</v>
      </c>
      <c r="H889" s="2" t="s">
        <v>1669</v>
      </c>
      <c r="I889" s="1" t="s">
        <v>14</v>
      </c>
      <c r="J889" s="1" t="s">
        <v>2904</v>
      </c>
      <c r="L889" s="53"/>
      <c r="M889" s="39"/>
      <c r="N889" s="39"/>
      <c r="O889" s="39"/>
      <c r="P889" s="39"/>
      <c r="Q889" s="39"/>
      <c r="R889" s="39"/>
      <c r="S889" s="39"/>
      <c r="T889" s="39"/>
      <c r="U889" s="39"/>
      <c r="V889" s="39"/>
      <c r="W889" s="60" t="s">
        <v>1718</v>
      </c>
    </row>
    <row r="890" spans="1:23" ht="25.5" x14ac:dyDescent="0.2">
      <c r="A890" s="1" t="s">
        <v>159</v>
      </c>
      <c r="B890" s="2" t="s">
        <v>38</v>
      </c>
      <c r="C890" s="2" t="s">
        <v>154</v>
      </c>
      <c r="D890" s="2" t="s">
        <v>155</v>
      </c>
      <c r="E890" s="2">
        <v>2021</v>
      </c>
      <c r="F890" s="2" t="s">
        <v>1789</v>
      </c>
      <c r="G890" s="2" t="s">
        <v>1667</v>
      </c>
      <c r="H890" s="2" t="s">
        <v>1669</v>
      </c>
      <c r="I890" s="1" t="s">
        <v>14</v>
      </c>
      <c r="J890" s="1" t="s">
        <v>2905</v>
      </c>
      <c r="L890" s="53"/>
      <c r="M890" s="39"/>
      <c r="N890" s="39"/>
      <c r="O890" s="39"/>
      <c r="P890" s="39"/>
      <c r="Q890" s="39"/>
      <c r="R890" s="39"/>
      <c r="S890" s="39"/>
      <c r="T890" s="39"/>
      <c r="U890" s="39"/>
      <c r="V890" s="39"/>
      <c r="W890" s="60" t="s">
        <v>1718</v>
      </c>
    </row>
    <row r="891" spans="1:23" ht="25.5" x14ac:dyDescent="0.2">
      <c r="A891" s="1" t="s">
        <v>159</v>
      </c>
      <c r="B891" s="2" t="s">
        <v>38</v>
      </c>
      <c r="C891" s="2" t="s">
        <v>154</v>
      </c>
      <c r="D891" s="2" t="s">
        <v>155</v>
      </c>
      <c r="E891" s="2">
        <v>2021</v>
      </c>
      <c r="F891" s="2" t="s">
        <v>1791</v>
      </c>
      <c r="G891" s="2" t="s">
        <v>1667</v>
      </c>
      <c r="H891" s="2" t="s">
        <v>1669</v>
      </c>
      <c r="I891" s="1" t="s">
        <v>14</v>
      </c>
      <c r="J891" s="1" t="s">
        <v>2906</v>
      </c>
      <c r="L891" s="53"/>
      <c r="M891" s="39"/>
      <c r="N891" s="39"/>
      <c r="O891" s="39"/>
      <c r="P891" s="39"/>
      <c r="Q891" s="39"/>
      <c r="R891" s="39"/>
      <c r="S891" s="39"/>
      <c r="T891" s="39"/>
      <c r="U891" s="39"/>
      <c r="V891" s="39"/>
      <c r="W891" s="60" t="s">
        <v>1718</v>
      </c>
    </row>
    <row r="892" spans="1:23" ht="25.5" x14ac:dyDescent="0.2">
      <c r="A892" s="1" t="s">
        <v>159</v>
      </c>
      <c r="B892" s="2" t="s">
        <v>38</v>
      </c>
      <c r="C892" s="2" t="s">
        <v>154</v>
      </c>
      <c r="D892" s="2" t="s">
        <v>155</v>
      </c>
      <c r="E892" s="2">
        <v>2021</v>
      </c>
      <c r="F892" s="2" t="s">
        <v>311</v>
      </c>
      <c r="G892" s="2" t="s">
        <v>1667</v>
      </c>
      <c r="H892" s="2" t="s">
        <v>1669</v>
      </c>
      <c r="I892" s="1" t="s">
        <v>14</v>
      </c>
      <c r="J892" s="1" t="s">
        <v>2907</v>
      </c>
      <c r="L892" s="53"/>
      <c r="M892" s="39"/>
      <c r="N892" s="39"/>
      <c r="O892" s="39"/>
      <c r="P892" s="39"/>
      <c r="Q892" s="39"/>
      <c r="R892" s="39"/>
      <c r="S892" s="39"/>
      <c r="T892" s="39"/>
      <c r="U892" s="39"/>
      <c r="V892" s="39"/>
      <c r="W892" s="60" t="s">
        <v>1718</v>
      </c>
    </row>
    <row r="893" spans="1:23" ht="25.5" x14ac:dyDescent="0.2">
      <c r="A893" s="1" t="s">
        <v>159</v>
      </c>
      <c r="B893" s="2" t="s">
        <v>38</v>
      </c>
      <c r="C893" s="2" t="s">
        <v>154</v>
      </c>
      <c r="D893" s="2" t="s">
        <v>155</v>
      </c>
      <c r="E893" s="2">
        <v>2021</v>
      </c>
      <c r="F893" s="2" t="s">
        <v>1794</v>
      </c>
      <c r="G893" s="2" t="s">
        <v>1667</v>
      </c>
      <c r="H893" s="2" t="s">
        <v>1669</v>
      </c>
      <c r="I893" s="1" t="s">
        <v>14</v>
      </c>
      <c r="J893" s="1" t="s">
        <v>2908</v>
      </c>
      <c r="L893" s="53"/>
      <c r="M893" s="39"/>
      <c r="N893" s="39"/>
      <c r="O893" s="39"/>
      <c r="P893" s="39"/>
      <c r="Q893" s="39"/>
      <c r="R893" s="39"/>
      <c r="S893" s="39"/>
      <c r="T893" s="39"/>
      <c r="U893" s="39"/>
      <c r="V893" s="39"/>
      <c r="W893" s="60" t="s">
        <v>1718</v>
      </c>
    </row>
    <row r="894" spans="1:23" ht="25.5" x14ac:dyDescent="0.2">
      <c r="A894" s="1" t="s">
        <v>159</v>
      </c>
      <c r="B894" s="2" t="s">
        <v>38</v>
      </c>
      <c r="C894" s="2" t="s">
        <v>154</v>
      </c>
      <c r="D894" s="2" t="s">
        <v>155</v>
      </c>
      <c r="E894" s="2">
        <v>2021</v>
      </c>
      <c r="F894" s="2" t="s">
        <v>1798</v>
      </c>
      <c r="G894" s="2" t="s">
        <v>1667</v>
      </c>
      <c r="H894" s="2" t="s">
        <v>1669</v>
      </c>
      <c r="I894" s="1" t="s">
        <v>14</v>
      </c>
      <c r="J894" s="1" t="s">
        <v>2909</v>
      </c>
      <c r="L894" s="53"/>
      <c r="M894" s="39"/>
      <c r="N894" s="39"/>
      <c r="O894" s="39"/>
      <c r="P894" s="39"/>
      <c r="Q894" s="39"/>
      <c r="R894" s="39"/>
      <c r="S894" s="39"/>
      <c r="T894" s="39"/>
      <c r="U894" s="39"/>
      <c r="V894" s="39"/>
      <c r="W894" s="60" t="s">
        <v>1718</v>
      </c>
    </row>
    <row r="895" spans="1:23" ht="76.5" x14ac:dyDescent="0.2">
      <c r="A895" s="1" t="s">
        <v>1425</v>
      </c>
      <c r="B895" s="2" t="s">
        <v>196</v>
      </c>
      <c r="C895" s="2" t="s">
        <v>154</v>
      </c>
      <c r="D895" s="2" t="s">
        <v>155</v>
      </c>
      <c r="E895" s="2">
        <v>2021</v>
      </c>
      <c r="F895" s="2" t="s">
        <v>1794</v>
      </c>
      <c r="G895" s="2" t="s">
        <v>1669</v>
      </c>
      <c r="H895" s="2" t="s">
        <v>1669</v>
      </c>
      <c r="I895" s="1" t="s">
        <v>2910</v>
      </c>
      <c r="J895" s="1" t="s">
        <v>2911</v>
      </c>
      <c r="L895" s="53">
        <v>0.219</v>
      </c>
      <c r="M895" s="39"/>
      <c r="N895" s="39"/>
      <c r="O895" s="39">
        <v>511.2</v>
      </c>
      <c r="P895" s="39"/>
      <c r="Q895" s="39"/>
      <c r="R895" s="39"/>
      <c r="S895" s="39"/>
      <c r="T895" s="39"/>
      <c r="U895" s="39"/>
      <c r="V895" s="39"/>
      <c r="W895" s="60"/>
    </row>
    <row r="896" spans="1:23" ht="38.25" x14ac:dyDescent="0.2">
      <c r="A896" s="1" t="s">
        <v>212</v>
      </c>
      <c r="B896" s="2" t="s">
        <v>213</v>
      </c>
      <c r="C896" s="2" t="s">
        <v>214</v>
      </c>
      <c r="D896" s="2" t="s">
        <v>121</v>
      </c>
      <c r="E896" s="2">
        <v>2021</v>
      </c>
      <c r="F896" s="2" t="s">
        <v>1779</v>
      </c>
      <c r="G896" s="2" t="s">
        <v>1669</v>
      </c>
      <c r="H896" s="2" t="s">
        <v>1669</v>
      </c>
      <c r="I896" s="1" t="s">
        <v>2912</v>
      </c>
      <c r="J896" s="1" t="s">
        <v>2913</v>
      </c>
      <c r="L896" s="53" t="s">
        <v>1670</v>
      </c>
      <c r="M896" s="39"/>
      <c r="N896" s="39"/>
      <c r="O896" s="39"/>
      <c r="P896" s="39"/>
      <c r="Q896" s="39"/>
      <c r="R896" s="39"/>
      <c r="S896" s="39"/>
      <c r="T896" s="39"/>
      <c r="U896" s="39"/>
      <c r="V896" s="39">
        <f>5400*0.004546</f>
        <v>24.548399999999997</v>
      </c>
      <c r="W896" s="60" t="s">
        <v>1701</v>
      </c>
    </row>
    <row r="897" spans="1:23" ht="25.5" x14ac:dyDescent="0.2">
      <c r="A897" s="1" t="s">
        <v>212</v>
      </c>
      <c r="B897" s="2" t="s">
        <v>213</v>
      </c>
      <c r="C897" s="2" t="s">
        <v>214</v>
      </c>
      <c r="D897" s="2" t="s">
        <v>121</v>
      </c>
      <c r="E897" s="2">
        <v>2021</v>
      </c>
      <c r="F897" s="2" t="s">
        <v>1789</v>
      </c>
      <c r="G897" s="2" t="s">
        <v>1669</v>
      </c>
      <c r="H897" s="2" t="s">
        <v>1669</v>
      </c>
      <c r="I897" s="1" t="s">
        <v>2914</v>
      </c>
      <c r="J897" s="1" t="s">
        <v>2915</v>
      </c>
      <c r="L897" s="53" t="s">
        <v>1670</v>
      </c>
      <c r="M897" s="39"/>
      <c r="N897" s="39"/>
      <c r="O897" s="39"/>
      <c r="P897" s="39"/>
      <c r="Q897" s="39"/>
      <c r="R897" s="39"/>
      <c r="S897" s="39"/>
      <c r="T897" s="39"/>
      <c r="U897" s="39"/>
      <c r="V897" s="39">
        <f>5200*0.004546</f>
        <v>23.639199999999999</v>
      </c>
      <c r="W897" s="60" t="s">
        <v>1701</v>
      </c>
    </row>
    <row r="898" spans="1:23" ht="38.25" x14ac:dyDescent="0.2">
      <c r="A898" s="1" t="s">
        <v>2916</v>
      </c>
      <c r="B898" s="2" t="s">
        <v>38</v>
      </c>
      <c r="C898" s="2" t="s">
        <v>286</v>
      </c>
      <c r="D898" s="2" t="s">
        <v>173</v>
      </c>
      <c r="E898" s="2">
        <v>2021</v>
      </c>
      <c r="F898" s="2" t="s">
        <v>1798</v>
      </c>
      <c r="G898" s="2" t="s">
        <v>1667</v>
      </c>
      <c r="H898" s="2" t="s">
        <v>1669</v>
      </c>
      <c r="I898" s="1" t="s">
        <v>14</v>
      </c>
      <c r="J898" s="1" t="s">
        <v>2917</v>
      </c>
      <c r="L898" s="53">
        <v>0.06</v>
      </c>
      <c r="M898" s="39"/>
      <c r="N898" s="39"/>
      <c r="O898" s="39">
        <v>666.41</v>
      </c>
      <c r="P898" s="39"/>
      <c r="Q898" s="39"/>
      <c r="R898" s="39"/>
      <c r="S898" s="39"/>
      <c r="T898" s="39"/>
      <c r="U898" s="39"/>
      <c r="V898" s="39"/>
      <c r="W898" s="60" t="s">
        <v>1699</v>
      </c>
    </row>
    <row r="899" spans="1:23" ht="51" x14ac:dyDescent="0.2">
      <c r="A899" s="1" t="s">
        <v>2918</v>
      </c>
      <c r="B899" s="2" t="s">
        <v>264</v>
      </c>
      <c r="C899" s="2" t="s">
        <v>2919</v>
      </c>
      <c r="D899" s="2" t="s">
        <v>230</v>
      </c>
      <c r="E899" s="2">
        <v>2021</v>
      </c>
      <c r="F899" s="2" t="s">
        <v>1794</v>
      </c>
      <c r="G899" s="2" t="s">
        <v>1669</v>
      </c>
      <c r="H899" s="2" t="s">
        <v>1669</v>
      </c>
      <c r="I899" s="1" t="s">
        <v>2920</v>
      </c>
      <c r="J899" s="1" t="s">
        <v>2921</v>
      </c>
      <c r="L899" s="53"/>
      <c r="M899" s="39"/>
      <c r="N899" s="39"/>
      <c r="O899" s="39"/>
      <c r="P899" s="39"/>
      <c r="Q899" s="39"/>
      <c r="R899" s="39"/>
      <c r="S899" s="39"/>
      <c r="T899" s="39"/>
      <c r="U899" s="39"/>
      <c r="V899" s="39"/>
      <c r="W899" s="60" t="s">
        <v>4340</v>
      </c>
    </row>
    <row r="900" spans="1:23" ht="38.25" x14ac:dyDescent="0.2">
      <c r="A900" s="1" t="s">
        <v>266</v>
      </c>
      <c r="B900" s="2" t="s">
        <v>463</v>
      </c>
      <c r="C900" s="2" t="s">
        <v>267</v>
      </c>
      <c r="D900" s="2" t="s">
        <v>268</v>
      </c>
      <c r="E900" s="2">
        <v>2021</v>
      </c>
      <c r="F900" s="2" t="s">
        <v>1787</v>
      </c>
      <c r="G900" s="2" t="s">
        <v>1668</v>
      </c>
      <c r="H900" s="2" t="s">
        <v>1669</v>
      </c>
      <c r="I900" s="1" t="s">
        <v>14</v>
      </c>
      <c r="J900" s="1" t="s">
        <v>2922</v>
      </c>
      <c r="L900" s="53">
        <v>0.21659999999999999</v>
      </c>
      <c r="M900" s="39"/>
      <c r="N900" s="39"/>
      <c r="O900" s="39">
        <v>913.75</v>
      </c>
      <c r="P900" s="39"/>
      <c r="Q900" s="39"/>
      <c r="R900" s="39"/>
      <c r="S900" s="39"/>
      <c r="T900" s="39"/>
      <c r="U900" s="39"/>
      <c r="V900" s="39"/>
      <c r="W900" s="60"/>
    </row>
    <row r="901" spans="1:23" ht="165.75" x14ac:dyDescent="0.2">
      <c r="A901" s="1" t="s">
        <v>273</v>
      </c>
      <c r="B901" s="2" t="s">
        <v>196</v>
      </c>
      <c r="C901" s="2" t="s">
        <v>274</v>
      </c>
      <c r="D901" s="2" t="s">
        <v>275</v>
      </c>
      <c r="E901" s="2">
        <v>2021</v>
      </c>
      <c r="F901" s="2" t="s">
        <v>311</v>
      </c>
      <c r="G901" s="2" t="s">
        <v>1669</v>
      </c>
      <c r="H901" s="2" t="s">
        <v>1668</v>
      </c>
      <c r="I901" s="1" t="s">
        <v>2923</v>
      </c>
      <c r="J901" s="1" t="s">
        <v>14</v>
      </c>
      <c r="L901" s="53"/>
      <c r="M901" s="39"/>
      <c r="N901" s="39"/>
      <c r="O901" s="39"/>
      <c r="P901" s="39"/>
      <c r="Q901" s="39"/>
      <c r="R901" s="39"/>
      <c r="S901" s="39"/>
      <c r="T901" s="39"/>
      <c r="U901" s="39"/>
      <c r="V901" s="39"/>
      <c r="W901" s="60" t="s">
        <v>1693</v>
      </c>
    </row>
    <row r="902" spans="1:23" ht="191.25" x14ac:dyDescent="0.2">
      <c r="A902" s="1" t="s">
        <v>273</v>
      </c>
      <c r="B902" s="2" t="s">
        <v>196</v>
      </c>
      <c r="C902" s="2" t="s">
        <v>274</v>
      </c>
      <c r="D902" s="2" t="s">
        <v>275</v>
      </c>
      <c r="E902" s="2">
        <v>2021</v>
      </c>
      <c r="F902" s="2" t="s">
        <v>1798</v>
      </c>
      <c r="G902" s="2" t="s">
        <v>1669</v>
      </c>
      <c r="H902" s="2" t="s">
        <v>1668</v>
      </c>
      <c r="I902" s="1" t="s">
        <v>2924</v>
      </c>
      <c r="J902" s="1" t="s">
        <v>2925</v>
      </c>
      <c r="L902" s="53"/>
      <c r="M902" s="39"/>
      <c r="N902" s="39"/>
      <c r="O902" s="39"/>
      <c r="P902" s="39"/>
      <c r="Q902" s="39"/>
      <c r="R902" s="39"/>
      <c r="S902" s="39"/>
      <c r="T902" s="39"/>
      <c r="U902" s="39"/>
      <c r="V902" s="39"/>
      <c r="W902" s="60" t="s">
        <v>1693</v>
      </c>
    </row>
    <row r="903" spans="1:23" ht="63.75" x14ac:dyDescent="0.2">
      <c r="A903" s="1" t="s">
        <v>2926</v>
      </c>
      <c r="B903" s="2" t="s">
        <v>196</v>
      </c>
      <c r="C903" s="2" t="s">
        <v>274</v>
      </c>
      <c r="D903" s="2" t="s">
        <v>275</v>
      </c>
      <c r="E903" s="2">
        <v>2021</v>
      </c>
      <c r="F903" s="2" t="s">
        <v>1798</v>
      </c>
      <c r="G903" s="2" t="s">
        <v>1669</v>
      </c>
      <c r="H903" s="2" t="s">
        <v>1669</v>
      </c>
      <c r="I903" s="1" t="s">
        <v>2927</v>
      </c>
      <c r="J903" s="1" t="s">
        <v>2928</v>
      </c>
      <c r="L903" s="53" t="s">
        <v>1670</v>
      </c>
      <c r="M903" s="39"/>
      <c r="N903" s="39"/>
      <c r="O903" s="39"/>
      <c r="P903" s="39"/>
      <c r="Q903" s="39"/>
      <c r="R903" s="39">
        <v>143.5</v>
      </c>
      <c r="S903" s="39"/>
      <c r="T903" s="39"/>
      <c r="U903" s="39"/>
      <c r="V903" s="39"/>
      <c r="W903" s="60" t="s">
        <v>1743</v>
      </c>
    </row>
    <row r="904" spans="1:23" ht="25.5" x14ac:dyDescent="0.2">
      <c r="A904" s="1" t="s">
        <v>65</v>
      </c>
      <c r="B904" s="2" t="s">
        <v>29</v>
      </c>
      <c r="C904" s="2" t="s">
        <v>66</v>
      </c>
      <c r="D904" s="2" t="s">
        <v>67</v>
      </c>
      <c r="E904" s="2">
        <v>2021</v>
      </c>
      <c r="F904" s="2" t="s">
        <v>1776</v>
      </c>
      <c r="G904" s="2" t="s">
        <v>1667</v>
      </c>
      <c r="H904" s="2" t="s">
        <v>1669</v>
      </c>
      <c r="I904" s="1" t="s">
        <v>14</v>
      </c>
      <c r="J904" s="1" t="s">
        <v>2929</v>
      </c>
      <c r="L904" s="53">
        <v>0.17299999999999999</v>
      </c>
      <c r="M904" s="39"/>
      <c r="N904" s="39"/>
      <c r="O904" s="39">
        <f>145.7/2</f>
        <v>72.849999999999994</v>
      </c>
      <c r="P904" s="39">
        <f>145.7/2</f>
        <v>72.849999999999994</v>
      </c>
      <c r="Q904" s="39"/>
      <c r="R904" s="39"/>
      <c r="S904" s="39"/>
      <c r="T904" s="39"/>
      <c r="U904" s="39"/>
      <c r="V904" s="39"/>
      <c r="W904" s="60" t="s">
        <v>1771</v>
      </c>
    </row>
    <row r="905" spans="1:23" ht="25.5" x14ac:dyDescent="0.2">
      <c r="A905" s="1" t="s">
        <v>65</v>
      </c>
      <c r="B905" s="2" t="s">
        <v>29</v>
      </c>
      <c r="C905" s="2" t="s">
        <v>66</v>
      </c>
      <c r="D905" s="2" t="s">
        <v>67</v>
      </c>
      <c r="E905" s="2">
        <v>2021</v>
      </c>
      <c r="F905" s="2" t="s">
        <v>1779</v>
      </c>
      <c r="G905" s="2" t="s">
        <v>1667</v>
      </c>
      <c r="H905" s="2" t="s">
        <v>1669</v>
      </c>
      <c r="I905" s="1" t="s">
        <v>14</v>
      </c>
      <c r="J905" s="1" t="s">
        <v>2930</v>
      </c>
      <c r="L905" s="53">
        <v>0.188</v>
      </c>
      <c r="M905" s="39"/>
      <c r="N905" s="39"/>
      <c r="O905" s="39">
        <f>150.6/2</f>
        <v>75.3</v>
      </c>
      <c r="P905" s="39">
        <f>150.6/2</f>
        <v>75.3</v>
      </c>
      <c r="Q905" s="39"/>
      <c r="R905" s="39"/>
      <c r="S905" s="39"/>
      <c r="T905" s="39"/>
      <c r="U905" s="39"/>
      <c r="V905" s="39"/>
      <c r="W905" s="60" t="s">
        <v>1771</v>
      </c>
    </row>
    <row r="906" spans="1:23" ht="25.5" x14ac:dyDescent="0.2">
      <c r="A906" s="1" t="s">
        <v>65</v>
      </c>
      <c r="B906" s="2" t="s">
        <v>29</v>
      </c>
      <c r="C906" s="2" t="s">
        <v>66</v>
      </c>
      <c r="D906" s="2" t="s">
        <v>67</v>
      </c>
      <c r="E906" s="2">
        <v>2021</v>
      </c>
      <c r="F906" s="2" t="s">
        <v>1781</v>
      </c>
      <c r="G906" s="2" t="s">
        <v>1667</v>
      </c>
      <c r="H906" s="2" t="s">
        <v>1669</v>
      </c>
      <c r="I906" s="1" t="s">
        <v>14</v>
      </c>
      <c r="J906" s="1" t="s">
        <v>2931</v>
      </c>
      <c r="L906" s="53">
        <v>0.16</v>
      </c>
      <c r="M906" s="39"/>
      <c r="N906" s="39"/>
      <c r="O906" s="39">
        <f>186/2</f>
        <v>93</v>
      </c>
      <c r="P906" s="39">
        <f>186/2</f>
        <v>93</v>
      </c>
      <c r="Q906" s="39"/>
      <c r="R906" s="39"/>
      <c r="S906" s="39"/>
      <c r="T906" s="39"/>
      <c r="U906" s="39"/>
      <c r="V906" s="39"/>
      <c r="W906" s="60" t="s">
        <v>1771</v>
      </c>
    </row>
    <row r="907" spans="1:23" ht="25.5" x14ac:dyDescent="0.2">
      <c r="A907" s="1" t="s">
        <v>65</v>
      </c>
      <c r="B907" s="2" t="s">
        <v>29</v>
      </c>
      <c r="C907" s="2" t="s">
        <v>66</v>
      </c>
      <c r="D907" s="2" t="s">
        <v>67</v>
      </c>
      <c r="E907" s="2">
        <v>2021</v>
      </c>
      <c r="F907" s="2" t="s">
        <v>1783</v>
      </c>
      <c r="G907" s="2" t="s">
        <v>1667</v>
      </c>
      <c r="H907" s="2" t="s">
        <v>1669</v>
      </c>
      <c r="I907" s="1" t="s">
        <v>14</v>
      </c>
      <c r="J907" s="1" t="s">
        <v>2932</v>
      </c>
      <c r="L907" s="53">
        <v>0.17599999999999999</v>
      </c>
      <c r="M907" s="39"/>
      <c r="N907" s="39"/>
      <c r="O907" s="39">
        <f>148/2</f>
        <v>74</v>
      </c>
      <c r="P907" s="39">
        <f>148/2</f>
        <v>74</v>
      </c>
      <c r="Q907" s="39"/>
      <c r="R907" s="39"/>
      <c r="S907" s="39"/>
      <c r="T907" s="39"/>
      <c r="U907" s="39"/>
      <c r="V907" s="39"/>
      <c r="W907" s="60" t="s">
        <v>1771</v>
      </c>
    </row>
    <row r="908" spans="1:23" ht="25.5" x14ac:dyDescent="0.2">
      <c r="A908" s="1" t="s">
        <v>65</v>
      </c>
      <c r="B908" s="2" t="s">
        <v>29</v>
      </c>
      <c r="C908" s="2" t="s">
        <v>66</v>
      </c>
      <c r="D908" s="2" t="s">
        <v>67</v>
      </c>
      <c r="E908" s="2">
        <v>2021</v>
      </c>
      <c r="F908" s="2" t="s">
        <v>1785</v>
      </c>
      <c r="G908" s="2" t="s">
        <v>1667</v>
      </c>
      <c r="H908" s="2" t="s">
        <v>1669</v>
      </c>
      <c r="I908" s="1" t="s">
        <v>14</v>
      </c>
      <c r="J908" s="1" t="s">
        <v>2933</v>
      </c>
      <c r="L908" s="53">
        <v>0.17100000000000001</v>
      </c>
      <c r="M908" s="39"/>
      <c r="N908" s="39"/>
      <c r="O908" s="39">
        <f>139.6/2</f>
        <v>69.8</v>
      </c>
      <c r="P908" s="39">
        <f>139.6/2</f>
        <v>69.8</v>
      </c>
      <c r="Q908" s="39"/>
      <c r="R908" s="39"/>
      <c r="S908" s="39"/>
      <c r="T908" s="39"/>
      <c r="U908" s="39"/>
      <c r="V908" s="39"/>
      <c r="W908" s="60" t="s">
        <v>1771</v>
      </c>
    </row>
    <row r="909" spans="1:23" ht="25.5" x14ac:dyDescent="0.2">
      <c r="A909" s="1" t="s">
        <v>65</v>
      </c>
      <c r="B909" s="2" t="s">
        <v>29</v>
      </c>
      <c r="C909" s="2" t="s">
        <v>66</v>
      </c>
      <c r="D909" s="2" t="s">
        <v>67</v>
      </c>
      <c r="E909" s="2">
        <v>2021</v>
      </c>
      <c r="F909" s="2" t="s">
        <v>1787</v>
      </c>
      <c r="G909" s="2" t="s">
        <v>1667</v>
      </c>
      <c r="H909" s="2" t="s">
        <v>1669</v>
      </c>
      <c r="I909" s="1" t="s">
        <v>14</v>
      </c>
      <c r="J909" s="1" t="s">
        <v>2934</v>
      </c>
      <c r="L909" s="53">
        <v>0.17699999999999999</v>
      </c>
      <c r="M909" s="39"/>
      <c r="N909" s="39"/>
      <c r="O909" s="39">
        <f>166.5/2</f>
        <v>83.25</v>
      </c>
      <c r="P909" s="39">
        <f>166.5/2</f>
        <v>83.25</v>
      </c>
      <c r="Q909" s="39"/>
      <c r="R909" s="39"/>
      <c r="S909" s="39"/>
      <c r="T909" s="39"/>
      <c r="U909" s="39"/>
      <c r="V909" s="39"/>
      <c r="W909" s="60" t="s">
        <v>1771</v>
      </c>
    </row>
    <row r="910" spans="1:23" ht="25.5" x14ac:dyDescent="0.2">
      <c r="A910" s="1" t="s">
        <v>65</v>
      </c>
      <c r="B910" s="2" t="s">
        <v>29</v>
      </c>
      <c r="C910" s="2" t="s">
        <v>66</v>
      </c>
      <c r="D910" s="2" t="s">
        <v>67</v>
      </c>
      <c r="E910" s="2">
        <v>2021</v>
      </c>
      <c r="F910" s="2" t="s">
        <v>1789</v>
      </c>
      <c r="G910" s="2" t="s">
        <v>1667</v>
      </c>
      <c r="H910" s="2" t="s">
        <v>1669</v>
      </c>
      <c r="I910" s="1" t="s">
        <v>14</v>
      </c>
      <c r="J910" s="1" t="s">
        <v>2935</v>
      </c>
      <c r="L910" s="53">
        <v>0.18</v>
      </c>
      <c r="M910" s="39"/>
      <c r="N910" s="39"/>
      <c r="O910" s="39">
        <f>192.5/2</f>
        <v>96.25</v>
      </c>
      <c r="P910" s="39">
        <f>192.5/2</f>
        <v>96.25</v>
      </c>
      <c r="Q910" s="39"/>
      <c r="R910" s="39"/>
      <c r="S910" s="39"/>
      <c r="T910" s="39"/>
      <c r="U910" s="39"/>
      <c r="V910" s="39"/>
      <c r="W910" s="60" t="s">
        <v>1771</v>
      </c>
    </row>
    <row r="911" spans="1:23" ht="25.5" x14ac:dyDescent="0.2">
      <c r="A911" s="1" t="s">
        <v>65</v>
      </c>
      <c r="B911" s="2" t="s">
        <v>29</v>
      </c>
      <c r="C911" s="2" t="s">
        <v>66</v>
      </c>
      <c r="D911" s="2" t="s">
        <v>67</v>
      </c>
      <c r="E911" s="2">
        <v>2021</v>
      </c>
      <c r="F911" s="2" t="s">
        <v>1791</v>
      </c>
      <c r="G911" s="2" t="s">
        <v>1667</v>
      </c>
      <c r="H911" s="2" t="s">
        <v>1669</v>
      </c>
      <c r="I911" s="1" t="s">
        <v>14</v>
      </c>
      <c r="J911" s="1" t="s">
        <v>2936</v>
      </c>
      <c r="L911" s="53">
        <v>0.182</v>
      </c>
      <c r="M911" s="39"/>
      <c r="N911" s="39"/>
      <c r="O911" s="39">
        <f>165.5/2</f>
        <v>82.75</v>
      </c>
      <c r="P911" s="39">
        <f>165.5/2</f>
        <v>82.75</v>
      </c>
      <c r="Q911" s="39"/>
      <c r="R911" s="39"/>
      <c r="S911" s="39"/>
      <c r="T911" s="39"/>
      <c r="U911" s="39"/>
      <c r="V911" s="39"/>
      <c r="W911" s="60" t="s">
        <v>1771</v>
      </c>
    </row>
    <row r="912" spans="1:23" ht="25.5" x14ac:dyDescent="0.2">
      <c r="A912" s="1" t="s">
        <v>65</v>
      </c>
      <c r="B912" s="2" t="s">
        <v>29</v>
      </c>
      <c r="C912" s="2" t="s">
        <v>66</v>
      </c>
      <c r="D912" s="2" t="s">
        <v>67</v>
      </c>
      <c r="E912" s="2">
        <v>2021</v>
      </c>
      <c r="F912" s="2" t="s">
        <v>1794</v>
      </c>
      <c r="G912" s="2" t="s">
        <v>1667</v>
      </c>
      <c r="H912" s="2" t="s">
        <v>1669</v>
      </c>
      <c r="I912" s="1" t="s">
        <v>14</v>
      </c>
      <c r="J912" s="1" t="s">
        <v>2937</v>
      </c>
      <c r="L912" s="53">
        <v>0.17399999999999999</v>
      </c>
      <c r="M912" s="39"/>
      <c r="N912" s="39"/>
      <c r="O912" s="39">
        <f>151.3/2</f>
        <v>75.650000000000006</v>
      </c>
      <c r="P912" s="39">
        <f>151.3/2</f>
        <v>75.650000000000006</v>
      </c>
      <c r="Q912" s="39"/>
      <c r="R912" s="39"/>
      <c r="S912" s="39"/>
      <c r="T912" s="39"/>
      <c r="U912" s="39"/>
      <c r="V912" s="39"/>
      <c r="W912" s="60" t="s">
        <v>1771</v>
      </c>
    </row>
    <row r="913" spans="1:23" ht="25.5" x14ac:dyDescent="0.2">
      <c r="A913" s="1" t="s">
        <v>65</v>
      </c>
      <c r="B913" s="2" t="s">
        <v>29</v>
      </c>
      <c r="C913" s="2" t="s">
        <v>66</v>
      </c>
      <c r="D913" s="2" t="s">
        <v>67</v>
      </c>
      <c r="E913" s="2">
        <v>2021</v>
      </c>
      <c r="F913" s="2" t="s">
        <v>1798</v>
      </c>
      <c r="G913" s="2" t="s">
        <v>1667</v>
      </c>
      <c r="H913" s="2" t="s">
        <v>1669</v>
      </c>
      <c r="I913" s="1" t="s">
        <v>14</v>
      </c>
      <c r="J913" s="1" t="s">
        <v>2938</v>
      </c>
      <c r="L913" s="53">
        <v>0.153</v>
      </c>
      <c r="M913" s="39"/>
      <c r="N913" s="39"/>
      <c r="O913" s="39">
        <f>111.9/2</f>
        <v>55.95</v>
      </c>
      <c r="P913" s="39">
        <f>111.9/2</f>
        <v>55.95</v>
      </c>
      <c r="Q913" s="39"/>
      <c r="R913" s="39"/>
      <c r="S913" s="39"/>
      <c r="T913" s="39"/>
      <c r="U913" s="39"/>
      <c r="V913" s="39"/>
      <c r="W913" s="60" t="s">
        <v>1771</v>
      </c>
    </row>
    <row r="914" spans="1:23" ht="51" x14ac:dyDescent="0.2">
      <c r="A914" s="1" t="s">
        <v>378</v>
      </c>
      <c r="B914" s="2" t="s">
        <v>277</v>
      </c>
      <c r="C914" s="2" t="s">
        <v>379</v>
      </c>
      <c r="D914" s="2" t="s">
        <v>380</v>
      </c>
      <c r="E914" s="2">
        <v>2021</v>
      </c>
      <c r="F914" s="2" t="s">
        <v>1796</v>
      </c>
      <c r="G914" s="2" t="s">
        <v>1669</v>
      </c>
      <c r="H914" s="2" t="s">
        <v>1668</v>
      </c>
      <c r="I914" s="1" t="s">
        <v>2939</v>
      </c>
      <c r="J914" s="1" t="s">
        <v>14</v>
      </c>
      <c r="L914" s="53"/>
      <c r="M914" s="39"/>
      <c r="N914" s="39"/>
      <c r="O914" s="39"/>
      <c r="P914" s="39"/>
      <c r="Q914" s="39"/>
      <c r="R914" s="39"/>
      <c r="S914" s="39"/>
      <c r="T914" s="39"/>
      <c r="U914" s="39"/>
      <c r="V914" s="39"/>
      <c r="W914" s="60" t="s">
        <v>2940</v>
      </c>
    </row>
    <row r="915" spans="1:23" ht="38.25" x14ac:dyDescent="0.2">
      <c r="A915" s="1" t="s">
        <v>381</v>
      </c>
      <c r="B915" s="2" t="s">
        <v>232</v>
      </c>
      <c r="C915" s="2" t="s">
        <v>379</v>
      </c>
      <c r="D915" s="2" t="s">
        <v>380</v>
      </c>
      <c r="E915" s="2">
        <v>2021</v>
      </c>
      <c r="F915" s="2" t="s">
        <v>1796</v>
      </c>
      <c r="G915" s="2" t="s">
        <v>1669</v>
      </c>
      <c r="H915" s="2" t="s">
        <v>1668</v>
      </c>
      <c r="I915" s="1" t="s">
        <v>2941</v>
      </c>
      <c r="J915" s="1" t="s">
        <v>14</v>
      </c>
      <c r="L915" s="53"/>
      <c r="M915" s="39"/>
      <c r="N915" s="39"/>
      <c r="O915" s="39"/>
      <c r="P915" s="39"/>
      <c r="Q915" s="39"/>
      <c r="R915" s="39"/>
      <c r="S915" s="39"/>
      <c r="T915" s="39"/>
      <c r="U915" s="39"/>
      <c r="V915" s="39"/>
      <c r="W915" s="60" t="s">
        <v>2942</v>
      </c>
    </row>
    <row r="916" spans="1:23" ht="51" x14ac:dyDescent="0.2">
      <c r="A916" s="1" t="s">
        <v>2943</v>
      </c>
      <c r="B916" s="2" t="s">
        <v>196</v>
      </c>
      <c r="C916" s="2" t="s">
        <v>379</v>
      </c>
      <c r="D916" s="2" t="s">
        <v>380</v>
      </c>
      <c r="E916" s="2">
        <v>2021</v>
      </c>
      <c r="F916" s="2" t="s">
        <v>1789</v>
      </c>
      <c r="G916" s="2" t="s">
        <v>1669</v>
      </c>
      <c r="H916" s="2" t="s">
        <v>1669</v>
      </c>
      <c r="I916" s="1" t="s">
        <v>2944</v>
      </c>
      <c r="J916" s="1" t="s">
        <v>2945</v>
      </c>
      <c r="L916" s="33">
        <v>0.25</v>
      </c>
      <c r="M916" s="15"/>
      <c r="N916" s="15"/>
      <c r="O916" s="15">
        <f>333/L916</f>
        <v>1332</v>
      </c>
      <c r="P916" s="15"/>
      <c r="Q916" s="15"/>
      <c r="R916" s="15"/>
      <c r="S916" s="15"/>
      <c r="T916" s="15"/>
      <c r="U916" s="15"/>
      <c r="V916" s="15"/>
      <c r="W916" s="60"/>
    </row>
    <row r="917" spans="1:23" ht="63.75" x14ac:dyDescent="0.2">
      <c r="A917" s="1" t="s">
        <v>2943</v>
      </c>
      <c r="B917" s="2" t="s">
        <v>196</v>
      </c>
      <c r="C917" s="2" t="s">
        <v>379</v>
      </c>
      <c r="D917" s="2" t="s">
        <v>380</v>
      </c>
      <c r="E917" s="2">
        <v>2021</v>
      </c>
      <c r="F917" s="2" t="s">
        <v>1791</v>
      </c>
      <c r="G917" s="2" t="s">
        <v>1669</v>
      </c>
      <c r="H917" s="2" t="s">
        <v>1669</v>
      </c>
      <c r="I917" s="1" t="s">
        <v>2946</v>
      </c>
      <c r="J917" s="1" t="s">
        <v>2947</v>
      </c>
      <c r="L917" s="53">
        <v>0.25</v>
      </c>
      <c r="M917" s="39"/>
      <c r="N917" s="39"/>
      <c r="O917" s="39">
        <f>(309+80.67)/L917</f>
        <v>1558.68</v>
      </c>
      <c r="P917" s="39"/>
      <c r="Q917" s="39"/>
      <c r="R917" s="39"/>
      <c r="S917" s="39"/>
      <c r="T917" s="39"/>
      <c r="U917" s="39"/>
      <c r="V917" s="39"/>
      <c r="W917" s="60" t="s">
        <v>2948</v>
      </c>
    </row>
    <row r="918" spans="1:23" ht="51" x14ac:dyDescent="0.2">
      <c r="A918" s="1" t="s">
        <v>2949</v>
      </c>
      <c r="B918" s="2" t="s">
        <v>318</v>
      </c>
      <c r="C918" s="2" t="s">
        <v>379</v>
      </c>
      <c r="D918" s="2" t="s">
        <v>380</v>
      </c>
      <c r="E918" s="2">
        <v>2021</v>
      </c>
      <c r="F918" s="2" t="s">
        <v>1796</v>
      </c>
      <c r="G918" s="2" t="s">
        <v>1669</v>
      </c>
      <c r="H918" s="2" t="s">
        <v>1668</v>
      </c>
      <c r="I918" s="1" t="s">
        <v>2950</v>
      </c>
      <c r="J918" s="1" t="s">
        <v>14</v>
      </c>
      <c r="L918" s="53"/>
      <c r="M918" s="39"/>
      <c r="N918" s="39"/>
      <c r="O918" s="39"/>
      <c r="P918" s="39"/>
      <c r="Q918" s="39"/>
      <c r="R918" s="39"/>
      <c r="S918" s="39"/>
      <c r="T918" s="39"/>
      <c r="U918" s="39"/>
      <c r="V918" s="39"/>
      <c r="W918" s="60" t="s">
        <v>2940</v>
      </c>
    </row>
    <row r="919" spans="1:23" ht="38.25" x14ac:dyDescent="0.2">
      <c r="A919" s="1" t="s">
        <v>455</v>
      </c>
      <c r="B919" s="2" t="s">
        <v>196</v>
      </c>
      <c r="C919" s="2" t="s">
        <v>379</v>
      </c>
      <c r="D919" s="2" t="s">
        <v>380</v>
      </c>
      <c r="E919" s="2">
        <v>2021</v>
      </c>
      <c r="F919" s="2" t="s">
        <v>1787</v>
      </c>
      <c r="G919" s="2" t="s">
        <v>1669</v>
      </c>
      <c r="H919" s="2" t="s">
        <v>1669</v>
      </c>
      <c r="I919" s="1" t="s">
        <v>2951</v>
      </c>
      <c r="J919" s="1" t="s">
        <v>2952</v>
      </c>
      <c r="L919" s="53">
        <v>0.25</v>
      </c>
      <c r="M919" s="39"/>
      <c r="N919" s="39"/>
      <c r="O919" s="39">
        <v>9128</v>
      </c>
      <c r="P919" s="39"/>
      <c r="Q919" s="39"/>
      <c r="R919" s="39"/>
      <c r="S919" s="39"/>
      <c r="T919" s="39"/>
      <c r="U919" s="39"/>
      <c r="V919" s="39"/>
      <c r="W919" s="60" t="s">
        <v>1737</v>
      </c>
    </row>
    <row r="920" spans="1:23" ht="76.5" x14ac:dyDescent="0.2">
      <c r="A920" s="1" t="s">
        <v>455</v>
      </c>
      <c r="B920" s="2" t="s">
        <v>196</v>
      </c>
      <c r="C920" s="2" t="s">
        <v>379</v>
      </c>
      <c r="D920" s="2" t="s">
        <v>380</v>
      </c>
      <c r="E920" s="2">
        <v>2021</v>
      </c>
      <c r="F920" s="2" t="s">
        <v>1789</v>
      </c>
      <c r="G920" s="2" t="s">
        <v>1669</v>
      </c>
      <c r="H920" s="2" t="s">
        <v>1669</v>
      </c>
      <c r="I920" s="1" t="s">
        <v>2953</v>
      </c>
      <c r="J920" s="1" t="s">
        <v>2954</v>
      </c>
      <c r="L920" s="53">
        <v>0.25</v>
      </c>
      <c r="M920" s="39"/>
      <c r="N920" s="39"/>
      <c r="O920" s="39">
        <f>1256+4684</f>
        <v>5940</v>
      </c>
      <c r="P920" s="39"/>
      <c r="Q920" s="39"/>
      <c r="R920" s="39"/>
      <c r="S920" s="39"/>
      <c r="T920" s="39"/>
      <c r="U920" s="39"/>
      <c r="V920" s="39"/>
      <c r="W920" s="60" t="s">
        <v>1737</v>
      </c>
    </row>
    <row r="921" spans="1:23" ht="38.25" x14ac:dyDescent="0.2">
      <c r="A921" s="1" t="s">
        <v>1312</v>
      </c>
      <c r="B921" s="2" t="s">
        <v>196</v>
      </c>
      <c r="C921" s="2" t="s">
        <v>1313</v>
      </c>
      <c r="D921" s="2" t="s">
        <v>230</v>
      </c>
      <c r="E921" s="2">
        <v>2021</v>
      </c>
      <c r="F921" s="2" t="s">
        <v>1796</v>
      </c>
      <c r="G921" s="2" t="s">
        <v>1668</v>
      </c>
      <c r="H921" s="2" t="s">
        <v>1669</v>
      </c>
      <c r="I921" s="1" t="s">
        <v>14</v>
      </c>
      <c r="J921" s="1" t="s">
        <v>2955</v>
      </c>
      <c r="L921" s="53">
        <v>0.21</v>
      </c>
      <c r="M921" s="39"/>
      <c r="N921" s="39"/>
      <c r="O921" s="39"/>
      <c r="P921" s="39">
        <f>100*0.8</f>
        <v>80</v>
      </c>
      <c r="Q921" s="39"/>
      <c r="R921" s="39"/>
      <c r="S921" s="39"/>
      <c r="T921" s="39"/>
      <c r="U921" s="39"/>
      <c r="V921" s="39"/>
      <c r="W921" s="60" t="s">
        <v>1680</v>
      </c>
    </row>
    <row r="922" spans="1:23" ht="51" x14ac:dyDescent="0.2">
      <c r="A922" s="1" t="s">
        <v>231</v>
      </c>
      <c r="B922" s="2" t="s">
        <v>232</v>
      </c>
      <c r="C922" s="2" t="s">
        <v>233</v>
      </c>
      <c r="D922" s="2" t="s">
        <v>234</v>
      </c>
      <c r="E922" s="2">
        <v>2021</v>
      </c>
      <c r="F922" s="2" t="s">
        <v>1796</v>
      </c>
      <c r="G922" s="2" t="s">
        <v>1669</v>
      </c>
      <c r="H922" s="2" t="s">
        <v>1669</v>
      </c>
      <c r="I922" s="1" t="s">
        <v>2956</v>
      </c>
      <c r="J922" s="1" t="s">
        <v>2957</v>
      </c>
      <c r="L922" s="53">
        <v>0.17</v>
      </c>
      <c r="M922" s="39"/>
      <c r="N922" s="39"/>
      <c r="O922" s="39">
        <f>2.3*0.8</f>
        <v>1.8399999999999999</v>
      </c>
      <c r="P922" s="39"/>
      <c r="Q922" s="39"/>
      <c r="R922" s="39"/>
      <c r="S922" s="39"/>
      <c r="T922" s="39"/>
      <c r="U922" s="39"/>
      <c r="V922" s="39"/>
      <c r="W922" s="64" t="s">
        <v>1680</v>
      </c>
    </row>
    <row r="923" spans="1:23" ht="38.25" x14ac:dyDescent="0.2">
      <c r="A923" s="1" t="s">
        <v>109</v>
      </c>
      <c r="B923" s="2" t="s">
        <v>48</v>
      </c>
      <c r="C923" s="2" t="s">
        <v>110</v>
      </c>
      <c r="D923" s="2" t="s">
        <v>111</v>
      </c>
      <c r="E923" s="2">
        <v>2021</v>
      </c>
      <c r="F923" s="2" t="s">
        <v>1776</v>
      </c>
      <c r="G923" s="2" t="s">
        <v>1667</v>
      </c>
      <c r="H923" s="2" t="s">
        <v>1669</v>
      </c>
      <c r="I923" s="1" t="s">
        <v>14</v>
      </c>
      <c r="J923" s="1" t="s">
        <v>2958</v>
      </c>
      <c r="L923" s="33">
        <v>0.14000000000000001</v>
      </c>
      <c r="M923" s="15">
        <v>283.60000000000002</v>
      </c>
      <c r="N923" s="15"/>
      <c r="O923" s="15"/>
      <c r="P923" s="15"/>
      <c r="Q923" s="15"/>
      <c r="R923" s="15"/>
      <c r="S923" s="15"/>
      <c r="T923" s="15"/>
      <c r="U923" s="15"/>
      <c r="V923" s="15"/>
      <c r="W923" s="60" t="s">
        <v>1737</v>
      </c>
    </row>
    <row r="924" spans="1:23" ht="38.25" x14ac:dyDescent="0.2">
      <c r="A924" s="1" t="s">
        <v>109</v>
      </c>
      <c r="B924" s="2" t="s">
        <v>48</v>
      </c>
      <c r="C924" s="2" t="s">
        <v>110</v>
      </c>
      <c r="D924" s="2" t="s">
        <v>111</v>
      </c>
      <c r="E924" s="2">
        <v>2021</v>
      </c>
      <c r="F924" s="2" t="s">
        <v>1779</v>
      </c>
      <c r="G924" s="2" t="s">
        <v>1667</v>
      </c>
      <c r="H924" s="2" t="s">
        <v>1669</v>
      </c>
      <c r="I924" s="1" t="s">
        <v>14</v>
      </c>
      <c r="J924" s="1" t="s">
        <v>2959</v>
      </c>
      <c r="L924" s="53">
        <v>0.13900000000000001</v>
      </c>
      <c r="M924" s="39">
        <v>291.60000000000002</v>
      </c>
      <c r="N924" s="39"/>
      <c r="O924" s="39"/>
      <c r="P924" s="39"/>
      <c r="Q924" s="39"/>
      <c r="R924" s="39"/>
      <c r="S924" s="39"/>
      <c r="T924" s="39"/>
      <c r="U924" s="39"/>
      <c r="V924" s="39"/>
      <c r="W924" s="60" t="s">
        <v>1737</v>
      </c>
    </row>
    <row r="925" spans="1:23" ht="38.25" x14ac:dyDescent="0.2">
      <c r="A925" s="1" t="s">
        <v>109</v>
      </c>
      <c r="B925" s="2" t="s">
        <v>48</v>
      </c>
      <c r="C925" s="2" t="s">
        <v>110</v>
      </c>
      <c r="D925" s="2" t="s">
        <v>111</v>
      </c>
      <c r="E925" s="2">
        <v>2021</v>
      </c>
      <c r="F925" s="2" t="s">
        <v>1781</v>
      </c>
      <c r="G925" s="2" t="s">
        <v>1667</v>
      </c>
      <c r="H925" s="2" t="s">
        <v>1669</v>
      </c>
      <c r="I925" s="1" t="s">
        <v>14</v>
      </c>
      <c r="J925" s="1" t="s">
        <v>2960</v>
      </c>
      <c r="L925" s="53">
        <v>0.14899999999999999</v>
      </c>
      <c r="M925" s="39">
        <v>309.8</v>
      </c>
      <c r="N925" s="39"/>
      <c r="O925" s="39"/>
      <c r="P925" s="39"/>
      <c r="Q925" s="39"/>
      <c r="R925" s="39"/>
      <c r="S925" s="39"/>
      <c r="T925" s="39"/>
      <c r="U925" s="39"/>
      <c r="V925" s="39"/>
      <c r="W925" s="60" t="s">
        <v>1737</v>
      </c>
    </row>
    <row r="926" spans="1:23" ht="63.75" x14ac:dyDescent="0.2">
      <c r="A926" s="1" t="s">
        <v>109</v>
      </c>
      <c r="B926" s="2" t="s">
        <v>48</v>
      </c>
      <c r="C926" s="2" t="s">
        <v>110</v>
      </c>
      <c r="D926" s="2" t="s">
        <v>111</v>
      </c>
      <c r="E926" s="2">
        <v>2021</v>
      </c>
      <c r="F926" s="2" t="s">
        <v>1783</v>
      </c>
      <c r="G926" s="2" t="s">
        <v>1667</v>
      </c>
      <c r="H926" s="2" t="s">
        <v>1669</v>
      </c>
      <c r="I926" s="1" t="s">
        <v>14</v>
      </c>
      <c r="J926" s="1" t="s">
        <v>2961</v>
      </c>
      <c r="L926" s="53">
        <v>0.152</v>
      </c>
      <c r="M926" s="39">
        <v>134.9</v>
      </c>
      <c r="N926" s="39"/>
      <c r="O926" s="39"/>
      <c r="P926" s="39">
        <v>177.5</v>
      </c>
      <c r="Q926" s="39"/>
      <c r="R926" s="39"/>
      <c r="S926" s="39"/>
      <c r="T926" s="39"/>
      <c r="U926" s="39"/>
      <c r="V926" s="39"/>
      <c r="W926" s="60" t="s">
        <v>1737</v>
      </c>
    </row>
    <row r="927" spans="1:23" ht="25.5" x14ac:dyDescent="0.2">
      <c r="A927" s="1" t="s">
        <v>109</v>
      </c>
      <c r="B927" s="2" t="s">
        <v>48</v>
      </c>
      <c r="C927" s="2" t="s">
        <v>110</v>
      </c>
      <c r="D927" s="2" t="s">
        <v>111</v>
      </c>
      <c r="E927" s="2">
        <v>2021</v>
      </c>
      <c r="F927" s="2" t="s">
        <v>1785</v>
      </c>
      <c r="G927" s="2" t="s">
        <v>1667</v>
      </c>
      <c r="H927" s="2" t="s">
        <v>1669</v>
      </c>
      <c r="I927" s="1" t="s">
        <v>14</v>
      </c>
      <c r="J927" s="1" t="s">
        <v>2962</v>
      </c>
      <c r="L927" s="53">
        <v>0.158</v>
      </c>
      <c r="M927" s="39">
        <v>216.5</v>
      </c>
      <c r="N927" s="39"/>
      <c r="O927" s="39"/>
      <c r="P927" s="39"/>
      <c r="Q927" s="39"/>
      <c r="R927" s="39"/>
      <c r="S927" s="39"/>
      <c r="T927" s="39"/>
      <c r="U927" s="39"/>
      <c r="V927" s="39"/>
      <c r="W927" s="60" t="s">
        <v>1737</v>
      </c>
    </row>
    <row r="928" spans="1:23" ht="25.5" x14ac:dyDescent="0.2">
      <c r="A928" s="1" t="s">
        <v>109</v>
      </c>
      <c r="B928" s="2" t="s">
        <v>48</v>
      </c>
      <c r="C928" s="2" t="s">
        <v>110</v>
      </c>
      <c r="D928" s="2" t="s">
        <v>111</v>
      </c>
      <c r="E928" s="2">
        <v>2021</v>
      </c>
      <c r="F928" s="2" t="s">
        <v>1787</v>
      </c>
      <c r="G928" s="2" t="s">
        <v>1667</v>
      </c>
      <c r="H928" s="2" t="s">
        <v>1669</v>
      </c>
      <c r="I928" s="1" t="s">
        <v>14</v>
      </c>
      <c r="J928" s="1" t="s">
        <v>2963</v>
      </c>
      <c r="L928" s="53">
        <v>0.161</v>
      </c>
      <c r="M928" s="39">
        <v>234.3</v>
      </c>
      <c r="N928" s="39"/>
      <c r="O928" s="39"/>
      <c r="P928" s="39"/>
      <c r="Q928" s="39"/>
      <c r="R928" s="39"/>
      <c r="S928" s="39"/>
      <c r="T928" s="39"/>
      <c r="U928" s="39"/>
      <c r="V928" s="39"/>
      <c r="W928" s="60" t="s">
        <v>1737</v>
      </c>
    </row>
    <row r="929" spans="1:23" ht="25.5" x14ac:dyDescent="0.2">
      <c r="A929" s="1" t="s">
        <v>109</v>
      </c>
      <c r="B929" s="2" t="s">
        <v>48</v>
      </c>
      <c r="C929" s="2" t="s">
        <v>110</v>
      </c>
      <c r="D929" s="2" t="s">
        <v>111</v>
      </c>
      <c r="E929" s="2">
        <v>2021</v>
      </c>
      <c r="F929" s="2" t="s">
        <v>1789</v>
      </c>
      <c r="G929" s="2" t="s">
        <v>1667</v>
      </c>
      <c r="H929" s="2" t="s">
        <v>1669</v>
      </c>
      <c r="I929" s="1" t="s">
        <v>14</v>
      </c>
      <c r="J929" s="1" t="s">
        <v>2964</v>
      </c>
      <c r="L929" s="53">
        <v>0.16600000000000001</v>
      </c>
      <c r="M929" s="39">
        <v>195.1</v>
      </c>
      <c r="N929" s="39"/>
      <c r="O929" s="39"/>
      <c r="P929" s="39"/>
      <c r="Q929" s="39"/>
      <c r="R929" s="39"/>
      <c r="S929" s="39"/>
      <c r="T929" s="39"/>
      <c r="U929" s="39"/>
      <c r="V929" s="39"/>
      <c r="W929" s="60" t="s">
        <v>1737</v>
      </c>
    </row>
    <row r="930" spans="1:23" ht="25.5" x14ac:dyDescent="0.2">
      <c r="A930" s="1" t="s">
        <v>109</v>
      </c>
      <c r="B930" s="2" t="s">
        <v>48</v>
      </c>
      <c r="C930" s="2" t="s">
        <v>110</v>
      </c>
      <c r="D930" s="2" t="s">
        <v>111</v>
      </c>
      <c r="E930" s="2">
        <v>2021</v>
      </c>
      <c r="F930" s="2" t="s">
        <v>1791</v>
      </c>
      <c r="G930" s="2" t="s">
        <v>1667</v>
      </c>
      <c r="H930" s="2" t="s">
        <v>1669</v>
      </c>
      <c r="I930" s="1" t="s">
        <v>14</v>
      </c>
      <c r="J930" s="1" t="s">
        <v>2965</v>
      </c>
      <c r="L930" s="53">
        <v>0.16500000000000001</v>
      </c>
      <c r="M930" s="39">
        <v>146.19999999999999</v>
      </c>
      <c r="N930" s="39"/>
      <c r="O930" s="39"/>
      <c r="P930" s="39"/>
      <c r="Q930" s="39"/>
      <c r="R930" s="39"/>
      <c r="S930" s="39"/>
      <c r="T930" s="39"/>
      <c r="U930" s="39"/>
      <c r="V930" s="39"/>
      <c r="W930" s="60" t="s">
        <v>1737</v>
      </c>
    </row>
    <row r="931" spans="1:23" ht="63.75" x14ac:dyDescent="0.2">
      <c r="A931" s="1" t="s">
        <v>109</v>
      </c>
      <c r="B931" s="2" t="s">
        <v>48</v>
      </c>
      <c r="C931" s="2" t="s">
        <v>110</v>
      </c>
      <c r="D931" s="2" t="s">
        <v>111</v>
      </c>
      <c r="E931" s="2">
        <v>2021</v>
      </c>
      <c r="F931" s="2" t="s">
        <v>311</v>
      </c>
      <c r="G931" s="2" t="s">
        <v>1667</v>
      </c>
      <c r="H931" s="2" t="s">
        <v>1669</v>
      </c>
      <c r="I931" s="1" t="s">
        <v>14</v>
      </c>
      <c r="J931" s="1" t="s">
        <v>2966</v>
      </c>
      <c r="L931" s="53">
        <v>0.155</v>
      </c>
      <c r="M931" s="39">
        <v>73.7</v>
      </c>
      <c r="N931" s="39"/>
      <c r="O931" s="39"/>
      <c r="P931" s="39">
        <v>157.5</v>
      </c>
      <c r="Q931" s="39"/>
      <c r="R931" s="39"/>
      <c r="S931" s="39"/>
      <c r="T931" s="39"/>
      <c r="U931" s="39"/>
      <c r="V931" s="39"/>
      <c r="W931" s="60" t="s">
        <v>1737</v>
      </c>
    </row>
    <row r="932" spans="1:23" ht="25.5" x14ac:dyDescent="0.2">
      <c r="A932" s="1" t="s">
        <v>109</v>
      </c>
      <c r="B932" s="2" t="s">
        <v>48</v>
      </c>
      <c r="C932" s="2" t="s">
        <v>110</v>
      </c>
      <c r="D932" s="2" t="s">
        <v>111</v>
      </c>
      <c r="E932" s="2">
        <v>2021</v>
      </c>
      <c r="F932" s="2" t="s">
        <v>1794</v>
      </c>
      <c r="G932" s="2" t="s">
        <v>1667</v>
      </c>
      <c r="H932" s="2" t="s">
        <v>1669</v>
      </c>
      <c r="I932" s="1" t="s">
        <v>14</v>
      </c>
      <c r="J932" s="1" t="s">
        <v>2967</v>
      </c>
      <c r="L932" s="53">
        <v>0.155</v>
      </c>
      <c r="M932" s="39"/>
      <c r="N932" s="39"/>
      <c r="O932" s="39"/>
      <c r="P932" s="39">
        <v>253.1</v>
      </c>
      <c r="Q932" s="39"/>
      <c r="R932" s="39"/>
      <c r="S932" s="39"/>
      <c r="T932" s="39"/>
      <c r="U932" s="39"/>
      <c r="V932" s="39"/>
      <c r="W932" s="60" t="s">
        <v>1737</v>
      </c>
    </row>
    <row r="933" spans="1:23" ht="38.25" x14ac:dyDescent="0.2">
      <c r="A933" s="1" t="s">
        <v>109</v>
      </c>
      <c r="B933" s="2" t="s">
        <v>48</v>
      </c>
      <c r="C933" s="2" t="s">
        <v>110</v>
      </c>
      <c r="D933" s="2" t="s">
        <v>111</v>
      </c>
      <c r="E933" s="2">
        <v>2021</v>
      </c>
      <c r="F933" s="2" t="s">
        <v>1796</v>
      </c>
      <c r="G933" s="2" t="s">
        <v>1667</v>
      </c>
      <c r="H933" s="2" t="s">
        <v>1669</v>
      </c>
      <c r="I933" s="1" t="s">
        <v>14</v>
      </c>
      <c r="J933" s="1" t="s">
        <v>2968</v>
      </c>
      <c r="L933" s="53">
        <v>0.151</v>
      </c>
      <c r="M933" s="39">
        <v>252.6</v>
      </c>
      <c r="N933" s="39"/>
      <c r="O933" s="39"/>
      <c r="P933" s="39"/>
      <c r="Q933" s="39"/>
      <c r="R933" s="39"/>
      <c r="S933" s="39"/>
      <c r="T933" s="39"/>
      <c r="U933" s="39"/>
      <c r="V933" s="39"/>
      <c r="W933" s="60" t="s">
        <v>1737</v>
      </c>
    </row>
    <row r="934" spans="1:23" ht="38.25" x14ac:dyDescent="0.2">
      <c r="A934" s="1" t="s">
        <v>109</v>
      </c>
      <c r="B934" s="2" t="s">
        <v>48</v>
      </c>
      <c r="C934" s="2" t="s">
        <v>110</v>
      </c>
      <c r="D934" s="2" t="s">
        <v>111</v>
      </c>
      <c r="E934" s="2">
        <v>2021</v>
      </c>
      <c r="F934" s="2" t="s">
        <v>1798</v>
      </c>
      <c r="G934" s="2" t="s">
        <v>1667</v>
      </c>
      <c r="H934" s="2" t="s">
        <v>1669</v>
      </c>
      <c r="I934" s="1" t="s">
        <v>14</v>
      </c>
      <c r="J934" s="1" t="s">
        <v>2969</v>
      </c>
      <c r="L934" s="53">
        <v>0.14799999999999999</v>
      </c>
      <c r="M934" s="39">
        <v>194.8</v>
      </c>
      <c r="N934" s="39"/>
      <c r="O934" s="39"/>
      <c r="P934" s="39"/>
      <c r="Q934" s="39"/>
      <c r="R934" s="39"/>
      <c r="S934" s="39"/>
      <c r="T934" s="39"/>
      <c r="U934" s="39"/>
      <c r="V934" s="39"/>
      <c r="W934" s="60" t="s">
        <v>1737</v>
      </c>
    </row>
    <row r="935" spans="1:23" ht="38.25" x14ac:dyDescent="0.2">
      <c r="A935" s="1" t="s">
        <v>269</v>
      </c>
      <c r="B935" s="2" t="s">
        <v>213</v>
      </c>
      <c r="C935" s="2" t="s">
        <v>110</v>
      </c>
      <c r="D935" s="2" t="s">
        <v>111</v>
      </c>
      <c r="E935" s="2">
        <v>2021</v>
      </c>
      <c r="F935" s="2" t="s">
        <v>1781</v>
      </c>
      <c r="G935" s="2" t="s">
        <v>1669</v>
      </c>
      <c r="H935" s="2" t="s">
        <v>1669</v>
      </c>
      <c r="I935" s="1" t="s">
        <v>2970</v>
      </c>
      <c r="J935" s="1" t="s">
        <v>2971</v>
      </c>
      <c r="L935" s="53"/>
      <c r="M935" s="39"/>
      <c r="N935" s="39"/>
      <c r="O935" s="39"/>
      <c r="P935" s="39"/>
      <c r="Q935" s="39"/>
      <c r="R935" s="39"/>
      <c r="S935" s="39"/>
      <c r="T935" s="39"/>
      <c r="U935" s="39"/>
      <c r="V935" s="39"/>
      <c r="W935" s="60" t="s">
        <v>4341</v>
      </c>
    </row>
    <row r="936" spans="1:23" ht="51" x14ac:dyDescent="0.2">
      <c r="A936" s="1" t="s">
        <v>269</v>
      </c>
      <c r="B936" s="2" t="s">
        <v>213</v>
      </c>
      <c r="C936" s="2" t="s">
        <v>110</v>
      </c>
      <c r="D936" s="2" t="s">
        <v>111</v>
      </c>
      <c r="E936" s="2">
        <v>2021</v>
      </c>
      <c r="F936" s="2" t="s">
        <v>1785</v>
      </c>
      <c r="G936" s="2" t="s">
        <v>1669</v>
      </c>
      <c r="H936" s="2" t="s">
        <v>1669</v>
      </c>
      <c r="I936" s="1" t="s">
        <v>2972</v>
      </c>
      <c r="J936" s="1" t="s">
        <v>2973</v>
      </c>
      <c r="L936" s="53"/>
      <c r="M936" s="39"/>
      <c r="N936" s="39"/>
      <c r="O936" s="39"/>
      <c r="P936" s="39"/>
      <c r="Q936" s="39"/>
      <c r="R936" s="39"/>
      <c r="S936" s="39"/>
      <c r="T936" s="39"/>
      <c r="U936" s="39"/>
      <c r="V936" s="39"/>
      <c r="W936" s="60" t="s">
        <v>4341</v>
      </c>
    </row>
    <row r="937" spans="1:23" ht="89.25" x14ac:dyDescent="0.2">
      <c r="A937" s="1" t="s">
        <v>269</v>
      </c>
      <c r="B937" s="2" t="s">
        <v>213</v>
      </c>
      <c r="C937" s="2" t="s">
        <v>110</v>
      </c>
      <c r="D937" s="2" t="s">
        <v>111</v>
      </c>
      <c r="E937" s="2">
        <v>2021</v>
      </c>
      <c r="F937" s="2" t="s">
        <v>1789</v>
      </c>
      <c r="G937" s="2" t="s">
        <v>1669</v>
      </c>
      <c r="H937" s="2" t="s">
        <v>1669</v>
      </c>
      <c r="I937" s="1" t="s">
        <v>2974</v>
      </c>
      <c r="J937" s="1" t="s">
        <v>2974</v>
      </c>
      <c r="L937" s="53"/>
      <c r="M937" s="39"/>
      <c r="N937" s="39"/>
      <c r="O937" s="39"/>
      <c r="P937" s="39"/>
      <c r="Q937" s="39"/>
      <c r="R937" s="39"/>
      <c r="S937" s="39"/>
      <c r="T937" s="39"/>
      <c r="U937" s="39"/>
      <c r="V937" s="39"/>
      <c r="W937" s="60" t="s">
        <v>4341</v>
      </c>
    </row>
    <row r="938" spans="1:23" ht="63.75" x14ac:dyDescent="0.2">
      <c r="A938" s="1" t="s">
        <v>269</v>
      </c>
      <c r="B938" s="2" t="s">
        <v>213</v>
      </c>
      <c r="C938" s="2" t="s">
        <v>110</v>
      </c>
      <c r="D938" s="2" t="s">
        <v>111</v>
      </c>
      <c r="E938" s="2">
        <v>2021</v>
      </c>
      <c r="F938" s="2" t="s">
        <v>1791</v>
      </c>
      <c r="G938" s="2" t="s">
        <v>1669</v>
      </c>
      <c r="H938" s="2" t="s">
        <v>1669</v>
      </c>
      <c r="I938" s="1" t="s">
        <v>2975</v>
      </c>
      <c r="J938" s="1" t="s">
        <v>2976</v>
      </c>
      <c r="L938" s="53"/>
      <c r="M938" s="39"/>
      <c r="N938" s="39"/>
      <c r="O938" s="39"/>
      <c r="P938" s="39"/>
      <c r="Q938" s="39"/>
      <c r="R938" s="39"/>
      <c r="S938" s="39"/>
      <c r="T938" s="39"/>
      <c r="U938" s="39"/>
      <c r="V938" s="39"/>
      <c r="W938" s="60" t="s">
        <v>4341</v>
      </c>
    </row>
    <row r="939" spans="1:23" ht="63.75" x14ac:dyDescent="0.2">
      <c r="A939" s="1" t="s">
        <v>269</v>
      </c>
      <c r="B939" s="2" t="s">
        <v>213</v>
      </c>
      <c r="C939" s="2" t="s">
        <v>110</v>
      </c>
      <c r="D939" s="2" t="s">
        <v>111</v>
      </c>
      <c r="E939" s="2">
        <v>2021</v>
      </c>
      <c r="F939" s="2" t="s">
        <v>311</v>
      </c>
      <c r="G939" s="2" t="s">
        <v>1669</v>
      </c>
      <c r="H939" s="2" t="s">
        <v>1669</v>
      </c>
      <c r="I939" s="1" t="s">
        <v>2977</v>
      </c>
      <c r="J939" s="1" t="s">
        <v>2978</v>
      </c>
      <c r="L939" s="53"/>
      <c r="M939" s="39"/>
      <c r="N939" s="39"/>
      <c r="O939" s="39"/>
      <c r="P939" s="39"/>
      <c r="Q939" s="39"/>
      <c r="R939" s="39"/>
      <c r="S939" s="39"/>
      <c r="T939" s="39"/>
      <c r="U939" s="39"/>
      <c r="V939" s="39"/>
      <c r="W939" s="60" t="s">
        <v>4341</v>
      </c>
    </row>
    <row r="940" spans="1:23" ht="25.5" x14ac:dyDescent="0.2">
      <c r="A940" s="1" t="s">
        <v>269</v>
      </c>
      <c r="B940" s="2" t="s">
        <v>213</v>
      </c>
      <c r="C940" s="2" t="s">
        <v>110</v>
      </c>
      <c r="D940" s="2" t="s">
        <v>111</v>
      </c>
      <c r="E940" s="2">
        <v>2021</v>
      </c>
      <c r="F940" s="2" t="s">
        <v>1794</v>
      </c>
      <c r="G940" s="2" t="s">
        <v>1669</v>
      </c>
      <c r="H940" s="2" t="s">
        <v>1669</v>
      </c>
      <c r="I940" s="1" t="s">
        <v>2979</v>
      </c>
      <c r="J940" s="1" t="s">
        <v>2980</v>
      </c>
      <c r="L940" s="53"/>
      <c r="M940" s="39"/>
      <c r="N940" s="39"/>
      <c r="O940" s="39"/>
      <c r="P940" s="39"/>
      <c r="Q940" s="39"/>
      <c r="R940" s="39"/>
      <c r="S940" s="39"/>
      <c r="T940" s="39"/>
      <c r="U940" s="39"/>
      <c r="V940" s="39"/>
      <c r="W940" s="60" t="s">
        <v>4341</v>
      </c>
    </row>
    <row r="941" spans="1:23" ht="25.5" x14ac:dyDescent="0.2">
      <c r="A941" s="1" t="s">
        <v>269</v>
      </c>
      <c r="B941" s="2" t="s">
        <v>213</v>
      </c>
      <c r="C941" s="2" t="s">
        <v>110</v>
      </c>
      <c r="D941" s="2" t="s">
        <v>111</v>
      </c>
      <c r="E941" s="2">
        <v>2021</v>
      </c>
      <c r="F941" s="2" t="s">
        <v>1796</v>
      </c>
      <c r="G941" s="2" t="s">
        <v>1668</v>
      </c>
      <c r="H941" s="2" t="s">
        <v>1669</v>
      </c>
      <c r="I941" s="1" t="s">
        <v>14</v>
      </c>
      <c r="J941" s="1" t="s">
        <v>2981</v>
      </c>
      <c r="L941" s="53"/>
      <c r="M941" s="39"/>
      <c r="N941" s="39"/>
      <c r="O941" s="39"/>
      <c r="P941" s="39"/>
      <c r="Q941" s="39"/>
      <c r="R941" s="39"/>
      <c r="S941" s="39"/>
      <c r="T941" s="39"/>
      <c r="U941" s="39"/>
      <c r="V941" s="39"/>
      <c r="W941" s="60" t="s">
        <v>4341</v>
      </c>
    </row>
    <row r="942" spans="1:23" ht="51" x14ac:dyDescent="0.2">
      <c r="A942" s="1" t="s">
        <v>270</v>
      </c>
      <c r="B942" s="2" t="s">
        <v>271</v>
      </c>
      <c r="C942" s="2" t="s">
        <v>110</v>
      </c>
      <c r="D942" s="2" t="s">
        <v>111</v>
      </c>
      <c r="E942" s="2">
        <v>2021</v>
      </c>
      <c r="F942" s="2" t="s">
        <v>1785</v>
      </c>
      <c r="G942" s="2" t="s">
        <v>1669</v>
      </c>
      <c r="H942" s="2" t="s">
        <v>1669</v>
      </c>
      <c r="I942" s="1" t="s">
        <v>2982</v>
      </c>
      <c r="J942" s="1" t="s">
        <v>2983</v>
      </c>
      <c r="L942" s="53"/>
      <c r="M942" s="39"/>
      <c r="N942" s="39"/>
      <c r="O942" s="39"/>
      <c r="P942" s="39"/>
      <c r="Q942" s="39"/>
      <c r="R942" s="39"/>
      <c r="S942" s="39"/>
      <c r="T942" s="39"/>
      <c r="U942" s="39"/>
      <c r="V942" s="39"/>
      <c r="W942" s="60" t="s">
        <v>4341</v>
      </c>
    </row>
    <row r="943" spans="1:23" ht="51" x14ac:dyDescent="0.2">
      <c r="A943" s="1" t="s">
        <v>270</v>
      </c>
      <c r="B943" s="2" t="s">
        <v>271</v>
      </c>
      <c r="C943" s="2" t="s">
        <v>110</v>
      </c>
      <c r="D943" s="2" t="s">
        <v>111</v>
      </c>
      <c r="E943" s="2">
        <v>2021</v>
      </c>
      <c r="F943" s="2" t="s">
        <v>311</v>
      </c>
      <c r="G943" s="2" t="s">
        <v>1669</v>
      </c>
      <c r="H943" s="2" t="s">
        <v>1669</v>
      </c>
      <c r="I943" s="1" t="s">
        <v>2984</v>
      </c>
      <c r="J943" s="1" t="s">
        <v>2985</v>
      </c>
      <c r="L943" s="53"/>
      <c r="M943" s="39"/>
      <c r="N943" s="39"/>
      <c r="O943" s="39"/>
      <c r="P943" s="39"/>
      <c r="Q943" s="39"/>
      <c r="R943" s="39"/>
      <c r="S943" s="39"/>
      <c r="T943" s="39"/>
      <c r="U943" s="39"/>
      <c r="V943" s="39"/>
      <c r="W943" s="60" t="s">
        <v>4341</v>
      </c>
    </row>
    <row r="944" spans="1:23" ht="38.25" x14ac:dyDescent="0.2">
      <c r="A944" s="1" t="s">
        <v>2986</v>
      </c>
      <c r="B944" s="2" t="s">
        <v>194</v>
      </c>
      <c r="C944" s="2" t="s">
        <v>2987</v>
      </c>
      <c r="D944" s="2" t="s">
        <v>108</v>
      </c>
      <c r="E944" s="2">
        <v>2021</v>
      </c>
      <c r="F944" s="2" t="s">
        <v>1798</v>
      </c>
      <c r="G944" s="2" t="s">
        <v>1669</v>
      </c>
      <c r="H944" s="2" t="s">
        <v>1669</v>
      </c>
      <c r="I944" s="1" t="s">
        <v>2988</v>
      </c>
      <c r="J944" s="1" t="s">
        <v>2989</v>
      </c>
      <c r="L944" s="53" t="s">
        <v>1670</v>
      </c>
      <c r="M944" s="39"/>
      <c r="N944" s="39"/>
      <c r="O944" s="39"/>
      <c r="P944" s="39"/>
      <c r="Q944" s="39"/>
      <c r="R944" s="39"/>
      <c r="S944" s="39"/>
      <c r="T944" s="39"/>
      <c r="U944" s="39"/>
      <c r="V944" s="39">
        <v>25</v>
      </c>
      <c r="W944" s="60" t="s">
        <v>1682</v>
      </c>
    </row>
    <row r="945" spans="1:23" ht="409.5" x14ac:dyDescent="0.2">
      <c r="A945" s="1" t="s">
        <v>370</v>
      </c>
      <c r="B945" s="2" t="s">
        <v>196</v>
      </c>
      <c r="C945" s="2" t="s">
        <v>371</v>
      </c>
      <c r="D945" s="2" t="s">
        <v>297</v>
      </c>
      <c r="E945" s="2">
        <v>2021</v>
      </c>
      <c r="F945" s="2" t="s">
        <v>1787</v>
      </c>
      <c r="G945" s="2" t="s">
        <v>1669</v>
      </c>
      <c r="H945" s="2" t="s">
        <v>1669</v>
      </c>
      <c r="I945" s="1" t="s">
        <v>2990</v>
      </c>
      <c r="J945" s="1" t="s">
        <v>2991</v>
      </c>
      <c r="L945" s="53">
        <v>0.25</v>
      </c>
      <c r="M945" s="39"/>
      <c r="N945" s="39"/>
      <c r="O945" s="39">
        <f>1984.51+2114.95</f>
        <v>4099.46</v>
      </c>
      <c r="P945" s="39"/>
      <c r="Q945" s="39"/>
      <c r="R945" s="39"/>
      <c r="S945" s="39"/>
      <c r="T945" s="39"/>
      <c r="U945" s="39"/>
      <c r="V945" s="39"/>
      <c r="W945" s="60"/>
    </row>
    <row r="946" spans="1:23" ht="255" x14ac:dyDescent="0.2">
      <c r="A946" s="1" t="s">
        <v>370</v>
      </c>
      <c r="B946" s="2" t="s">
        <v>196</v>
      </c>
      <c r="C946" s="2" t="s">
        <v>371</v>
      </c>
      <c r="D946" s="2" t="s">
        <v>297</v>
      </c>
      <c r="E946" s="2">
        <v>2021</v>
      </c>
      <c r="F946" s="2" t="s">
        <v>1789</v>
      </c>
      <c r="G946" s="2" t="s">
        <v>1669</v>
      </c>
      <c r="H946" s="2" t="s">
        <v>1669</v>
      </c>
      <c r="I946" s="1" t="s">
        <v>2992</v>
      </c>
      <c r="J946" s="1" t="s">
        <v>2993</v>
      </c>
      <c r="L946" s="53">
        <v>0.3</v>
      </c>
      <c r="M946" s="39"/>
      <c r="N946" s="39"/>
      <c r="O946" s="39">
        <f>1066+677.7</f>
        <v>1743.7</v>
      </c>
      <c r="P946" s="39"/>
      <c r="Q946" s="39"/>
      <c r="R946" s="39"/>
      <c r="S946" s="39"/>
      <c r="T946" s="39"/>
      <c r="U946" s="39"/>
      <c r="V946" s="39"/>
      <c r="W946" s="60"/>
    </row>
    <row r="947" spans="1:23" ht="51" x14ac:dyDescent="0.2">
      <c r="A947" s="1" t="s">
        <v>176</v>
      </c>
      <c r="B947" s="2" t="s">
        <v>29</v>
      </c>
      <c r="C947" s="2" t="s">
        <v>177</v>
      </c>
      <c r="D947" s="2" t="s">
        <v>58</v>
      </c>
      <c r="E947" s="2">
        <v>2021</v>
      </c>
      <c r="F947" s="2" t="s">
        <v>1776</v>
      </c>
      <c r="G947" s="2" t="s">
        <v>1667</v>
      </c>
      <c r="H947" s="2" t="s">
        <v>1669</v>
      </c>
      <c r="I947" s="1" t="s">
        <v>14</v>
      </c>
      <c r="J947" s="1" t="s">
        <v>2994</v>
      </c>
      <c r="L947" s="53">
        <v>0.20200000000000001</v>
      </c>
      <c r="M947" s="39"/>
      <c r="N947" s="39"/>
      <c r="O947" s="39">
        <v>512</v>
      </c>
      <c r="P947" s="39"/>
      <c r="Q947" s="39"/>
      <c r="R947" s="39"/>
      <c r="S947" s="39"/>
      <c r="T947" s="39"/>
      <c r="U947" s="39"/>
      <c r="V947" s="39"/>
      <c r="W947" s="60"/>
    </row>
    <row r="948" spans="1:23" ht="76.5" x14ac:dyDescent="0.2">
      <c r="A948" s="1" t="s">
        <v>176</v>
      </c>
      <c r="B948" s="2" t="s">
        <v>29</v>
      </c>
      <c r="C948" s="2" t="s">
        <v>177</v>
      </c>
      <c r="D948" s="2" t="s">
        <v>58</v>
      </c>
      <c r="E948" s="2">
        <v>2021</v>
      </c>
      <c r="F948" s="2" t="s">
        <v>1779</v>
      </c>
      <c r="G948" s="2" t="s">
        <v>1667</v>
      </c>
      <c r="H948" s="2" t="s">
        <v>1669</v>
      </c>
      <c r="I948" s="1" t="s">
        <v>14</v>
      </c>
      <c r="J948" s="1" t="s">
        <v>2995</v>
      </c>
      <c r="L948" s="53">
        <v>0.20899999999999999</v>
      </c>
      <c r="M948" s="39"/>
      <c r="N948" s="39"/>
      <c r="O948" s="39">
        <v>475.74</v>
      </c>
      <c r="P948" s="39"/>
      <c r="Q948" s="39"/>
      <c r="R948" s="39"/>
      <c r="S948" s="39"/>
      <c r="T948" s="39"/>
      <c r="U948" s="39"/>
      <c r="V948" s="39"/>
      <c r="W948" s="60"/>
    </row>
    <row r="949" spans="1:23" ht="51" x14ac:dyDescent="0.2">
      <c r="A949" s="1" t="s">
        <v>176</v>
      </c>
      <c r="B949" s="2" t="s">
        <v>29</v>
      </c>
      <c r="C949" s="2" t="s">
        <v>177</v>
      </c>
      <c r="D949" s="2" t="s">
        <v>58</v>
      </c>
      <c r="E949" s="2">
        <v>2021</v>
      </c>
      <c r="F949" s="2" t="s">
        <v>1781</v>
      </c>
      <c r="G949" s="2" t="s">
        <v>1667</v>
      </c>
      <c r="H949" s="2" t="s">
        <v>1669</v>
      </c>
      <c r="I949" s="1" t="s">
        <v>14</v>
      </c>
      <c r="J949" s="1" t="s">
        <v>2996</v>
      </c>
      <c r="L949" s="53">
        <v>0.21099999999999999</v>
      </c>
      <c r="M949" s="39"/>
      <c r="N949" s="39"/>
      <c r="O949" s="39">
        <v>529.14</v>
      </c>
      <c r="P949" s="39"/>
      <c r="Q949" s="39"/>
      <c r="R949" s="39"/>
      <c r="S949" s="39"/>
      <c r="T949" s="39"/>
      <c r="U949" s="39"/>
      <c r="V949" s="39"/>
      <c r="W949" s="60"/>
    </row>
    <row r="950" spans="1:23" ht="51" x14ac:dyDescent="0.2">
      <c r="A950" s="1" t="s">
        <v>176</v>
      </c>
      <c r="B950" s="2" t="s">
        <v>29</v>
      </c>
      <c r="C950" s="2" t="s">
        <v>177</v>
      </c>
      <c r="D950" s="2" t="s">
        <v>58</v>
      </c>
      <c r="E950" s="2">
        <v>2021</v>
      </c>
      <c r="F950" s="2" t="s">
        <v>1783</v>
      </c>
      <c r="G950" s="2" t="s">
        <v>1667</v>
      </c>
      <c r="H950" s="2" t="s">
        <v>1669</v>
      </c>
      <c r="I950" s="1" t="s">
        <v>14</v>
      </c>
      <c r="J950" s="1" t="s">
        <v>2997</v>
      </c>
      <c r="L950" s="53">
        <v>0.21199999999999999</v>
      </c>
      <c r="M950" s="39"/>
      <c r="N950" s="39"/>
      <c r="O950" s="39">
        <v>544.61</v>
      </c>
      <c r="P950" s="39"/>
      <c r="Q950" s="39"/>
      <c r="R950" s="39"/>
      <c r="S950" s="39"/>
      <c r="T950" s="39"/>
      <c r="U950" s="39"/>
      <c r="V950" s="39"/>
      <c r="W950" s="60" t="s">
        <v>2998</v>
      </c>
    </row>
    <row r="951" spans="1:23" ht="63.75" x14ac:dyDescent="0.2">
      <c r="A951" s="1" t="s">
        <v>176</v>
      </c>
      <c r="B951" s="2" t="s">
        <v>29</v>
      </c>
      <c r="C951" s="2" t="s">
        <v>177</v>
      </c>
      <c r="D951" s="2" t="s">
        <v>58</v>
      </c>
      <c r="E951" s="2">
        <v>2021</v>
      </c>
      <c r="F951" s="2" t="s">
        <v>1785</v>
      </c>
      <c r="G951" s="2" t="s">
        <v>1667</v>
      </c>
      <c r="H951" s="2" t="s">
        <v>1669</v>
      </c>
      <c r="I951" s="1" t="s">
        <v>14</v>
      </c>
      <c r="J951" s="1" t="s">
        <v>2999</v>
      </c>
      <c r="L951" s="53">
        <v>0.214</v>
      </c>
      <c r="M951" s="39">
        <v>10</v>
      </c>
      <c r="N951" s="39"/>
      <c r="O951" s="39">
        <v>600.22</v>
      </c>
      <c r="P951" s="39"/>
      <c r="Q951" s="39"/>
      <c r="R951" s="39"/>
      <c r="S951" s="39"/>
      <c r="T951" s="39"/>
      <c r="U951" s="39"/>
      <c r="V951" s="39"/>
      <c r="W951" s="60"/>
    </row>
    <row r="952" spans="1:23" ht="76.5" x14ac:dyDescent="0.2">
      <c r="A952" s="1" t="s">
        <v>176</v>
      </c>
      <c r="B952" s="2" t="s">
        <v>29</v>
      </c>
      <c r="C952" s="2" t="s">
        <v>177</v>
      </c>
      <c r="D952" s="2" t="s">
        <v>58</v>
      </c>
      <c r="E952" s="2">
        <v>2021</v>
      </c>
      <c r="F952" s="2" t="s">
        <v>1787</v>
      </c>
      <c r="G952" s="2" t="s">
        <v>1667</v>
      </c>
      <c r="H952" s="2" t="s">
        <v>1669</v>
      </c>
      <c r="I952" s="1" t="s">
        <v>14</v>
      </c>
      <c r="J952" s="1" t="s">
        <v>3000</v>
      </c>
      <c r="L952" s="53">
        <v>0.219</v>
      </c>
      <c r="M952" s="39"/>
      <c r="N952" s="39"/>
      <c r="O952" s="39">
        <v>487.69</v>
      </c>
      <c r="P952" s="39"/>
      <c r="Q952" s="39"/>
      <c r="R952" s="39"/>
      <c r="S952" s="39"/>
      <c r="T952" s="39"/>
      <c r="U952" s="39"/>
      <c r="V952" s="39"/>
      <c r="W952" s="60"/>
    </row>
    <row r="953" spans="1:23" ht="76.5" x14ac:dyDescent="0.2">
      <c r="A953" s="1" t="s">
        <v>176</v>
      </c>
      <c r="B953" s="2" t="s">
        <v>29</v>
      </c>
      <c r="C953" s="2" t="s">
        <v>177</v>
      </c>
      <c r="D953" s="2" t="s">
        <v>58</v>
      </c>
      <c r="E953" s="2">
        <v>2021</v>
      </c>
      <c r="F953" s="2" t="s">
        <v>1789</v>
      </c>
      <c r="G953" s="2" t="s">
        <v>1667</v>
      </c>
      <c r="H953" s="2" t="s">
        <v>1669</v>
      </c>
      <c r="I953" s="1" t="s">
        <v>14</v>
      </c>
      <c r="J953" s="1" t="s">
        <v>3001</v>
      </c>
      <c r="L953" s="53">
        <v>0.223</v>
      </c>
      <c r="M953" s="39"/>
      <c r="N953" s="39"/>
      <c r="O953" s="39">
        <v>519.27</v>
      </c>
      <c r="P953" s="39"/>
      <c r="Q953" s="39"/>
      <c r="R953" s="39"/>
      <c r="S953" s="39"/>
      <c r="T953" s="39"/>
      <c r="U953" s="39"/>
      <c r="V953" s="39"/>
      <c r="W953" s="60"/>
    </row>
    <row r="954" spans="1:23" ht="89.25" x14ac:dyDescent="0.2">
      <c r="A954" s="1" t="s">
        <v>176</v>
      </c>
      <c r="B954" s="2" t="s">
        <v>29</v>
      </c>
      <c r="C954" s="2" t="s">
        <v>177</v>
      </c>
      <c r="D954" s="2" t="s">
        <v>58</v>
      </c>
      <c r="E954" s="2">
        <v>2021</v>
      </c>
      <c r="F954" s="2" t="s">
        <v>1791</v>
      </c>
      <c r="G954" s="2" t="s">
        <v>1667</v>
      </c>
      <c r="H954" s="2" t="s">
        <v>1669</v>
      </c>
      <c r="I954" s="1" t="s">
        <v>14</v>
      </c>
      <c r="J954" s="1" t="s">
        <v>3002</v>
      </c>
      <c r="L954" s="53">
        <v>0.218</v>
      </c>
      <c r="M954" s="39"/>
      <c r="N954" s="39"/>
      <c r="O954" s="39">
        <v>518.51</v>
      </c>
      <c r="P954" s="39"/>
      <c r="Q954" s="39"/>
      <c r="R954" s="39"/>
      <c r="S954" s="39"/>
      <c r="T954" s="39"/>
      <c r="U954" s="39"/>
      <c r="V954" s="39"/>
      <c r="W954" s="60"/>
    </row>
    <row r="955" spans="1:23" ht="89.25" x14ac:dyDescent="0.2">
      <c r="A955" s="1" t="s">
        <v>176</v>
      </c>
      <c r="B955" s="2" t="s">
        <v>29</v>
      </c>
      <c r="C955" s="2" t="s">
        <v>177</v>
      </c>
      <c r="D955" s="2" t="s">
        <v>58</v>
      </c>
      <c r="E955" s="2">
        <v>2021</v>
      </c>
      <c r="F955" s="2" t="s">
        <v>311</v>
      </c>
      <c r="G955" s="2" t="s">
        <v>1667</v>
      </c>
      <c r="H955" s="2" t="s">
        <v>1669</v>
      </c>
      <c r="I955" s="1" t="s">
        <v>14</v>
      </c>
      <c r="J955" s="1" t="s">
        <v>3003</v>
      </c>
      <c r="L955" s="53">
        <v>0.215</v>
      </c>
      <c r="M955" s="39"/>
      <c r="N955" s="39"/>
      <c r="O955" s="39">
        <v>544.88</v>
      </c>
      <c r="P955" s="39"/>
      <c r="Q955" s="39"/>
      <c r="R955" s="39"/>
      <c r="S955" s="39"/>
      <c r="T955" s="39"/>
      <c r="U955" s="39"/>
      <c r="V955" s="39"/>
      <c r="W955" s="60"/>
    </row>
    <row r="956" spans="1:23" ht="63.75" x14ac:dyDescent="0.2">
      <c r="A956" s="1" t="s">
        <v>176</v>
      </c>
      <c r="B956" s="2" t="s">
        <v>29</v>
      </c>
      <c r="C956" s="2" t="s">
        <v>177</v>
      </c>
      <c r="D956" s="2" t="s">
        <v>58</v>
      </c>
      <c r="E956" s="2">
        <v>2021</v>
      </c>
      <c r="F956" s="2" t="s">
        <v>1794</v>
      </c>
      <c r="G956" s="2" t="s">
        <v>1667</v>
      </c>
      <c r="H956" s="2" t="s">
        <v>1669</v>
      </c>
      <c r="I956" s="1" t="s">
        <v>14</v>
      </c>
      <c r="J956" s="1" t="s">
        <v>3004</v>
      </c>
      <c r="L956" s="53">
        <v>0.20300000000000001</v>
      </c>
      <c r="M956" s="39"/>
      <c r="N956" s="39"/>
      <c r="O956" s="39">
        <v>501.17</v>
      </c>
      <c r="P956" s="39"/>
      <c r="Q956" s="39"/>
      <c r="R956" s="39"/>
      <c r="S956" s="39"/>
      <c r="T956" s="39"/>
      <c r="U956" s="39"/>
      <c r="V956" s="39"/>
      <c r="W956" s="60"/>
    </row>
    <row r="957" spans="1:23" ht="76.5" x14ac:dyDescent="0.2">
      <c r="A957" s="1" t="s">
        <v>176</v>
      </c>
      <c r="B957" s="2" t="s">
        <v>29</v>
      </c>
      <c r="C957" s="2" t="s">
        <v>177</v>
      </c>
      <c r="D957" s="2" t="s">
        <v>58</v>
      </c>
      <c r="E957" s="2">
        <v>2021</v>
      </c>
      <c r="F957" s="2" t="s">
        <v>1796</v>
      </c>
      <c r="G957" s="2" t="s">
        <v>1667</v>
      </c>
      <c r="H957" s="2" t="s">
        <v>1669</v>
      </c>
      <c r="I957" s="1" t="s">
        <v>14</v>
      </c>
      <c r="J957" s="1" t="s">
        <v>3005</v>
      </c>
      <c r="L957" s="53">
        <v>0.20499999999999999</v>
      </c>
      <c r="M957" s="39"/>
      <c r="N957" s="39"/>
      <c r="O957" s="39">
        <v>484.21</v>
      </c>
      <c r="P957" s="39"/>
      <c r="Q957" s="39"/>
      <c r="R957" s="39"/>
      <c r="S957" s="39"/>
      <c r="T957" s="39"/>
      <c r="U957" s="39"/>
      <c r="V957" s="39"/>
      <c r="W957" s="60"/>
    </row>
    <row r="958" spans="1:23" ht="63.75" x14ac:dyDescent="0.2">
      <c r="A958" s="1" t="s">
        <v>176</v>
      </c>
      <c r="B958" s="2" t="s">
        <v>29</v>
      </c>
      <c r="C958" s="2" t="s">
        <v>177</v>
      </c>
      <c r="D958" s="2" t="s">
        <v>58</v>
      </c>
      <c r="E958" s="2">
        <v>2021</v>
      </c>
      <c r="F958" s="2" t="s">
        <v>1798</v>
      </c>
      <c r="G958" s="2" t="s">
        <v>1667</v>
      </c>
      <c r="H958" s="2" t="s">
        <v>1669</v>
      </c>
      <c r="I958" s="1" t="s">
        <v>14</v>
      </c>
      <c r="J958" s="1" t="s">
        <v>3006</v>
      </c>
      <c r="L958" s="53">
        <v>0.214</v>
      </c>
      <c r="M958" s="39"/>
      <c r="N958" s="39"/>
      <c r="O958" s="39">
        <v>555.01</v>
      </c>
      <c r="P958" s="39"/>
      <c r="Q958" s="39"/>
      <c r="R958" s="39"/>
      <c r="S958" s="39"/>
      <c r="T958" s="39"/>
      <c r="U958" s="39"/>
      <c r="V958" s="39"/>
      <c r="W958" s="60"/>
    </row>
    <row r="959" spans="1:23" ht="25.5" x14ac:dyDescent="0.2">
      <c r="A959" s="1" t="s">
        <v>116</v>
      </c>
      <c r="B959" s="2" t="s">
        <v>38</v>
      </c>
      <c r="C959" s="2" t="s">
        <v>117</v>
      </c>
      <c r="D959" s="2" t="s">
        <v>118</v>
      </c>
      <c r="E959" s="2">
        <v>2021</v>
      </c>
      <c r="F959" s="2" t="s">
        <v>1776</v>
      </c>
      <c r="G959" s="2" t="s">
        <v>1667</v>
      </c>
      <c r="H959" s="2" t="s">
        <v>1669</v>
      </c>
      <c r="I959" s="1" t="s">
        <v>14</v>
      </c>
      <c r="J959" s="1" t="s">
        <v>3007</v>
      </c>
      <c r="L959" s="53">
        <v>0.17519999999999999</v>
      </c>
      <c r="M959" s="39">
        <v>869.79</v>
      </c>
      <c r="N959" s="39"/>
      <c r="O959" s="39"/>
      <c r="P959" s="39"/>
      <c r="Q959" s="39"/>
      <c r="R959" s="39"/>
      <c r="S959" s="39"/>
      <c r="T959" s="39"/>
      <c r="U959" s="39"/>
      <c r="V959" s="39"/>
      <c r="W959" s="60"/>
    </row>
    <row r="960" spans="1:23" ht="25.5" x14ac:dyDescent="0.2">
      <c r="A960" s="1" t="s">
        <v>116</v>
      </c>
      <c r="B960" s="2" t="s">
        <v>38</v>
      </c>
      <c r="C960" s="2" t="s">
        <v>117</v>
      </c>
      <c r="D960" s="2" t="s">
        <v>118</v>
      </c>
      <c r="E960" s="2">
        <v>2021</v>
      </c>
      <c r="F960" s="2" t="s">
        <v>1779</v>
      </c>
      <c r="G960" s="2" t="s">
        <v>1667</v>
      </c>
      <c r="H960" s="2" t="s">
        <v>1669</v>
      </c>
      <c r="I960" s="1" t="s">
        <v>14</v>
      </c>
      <c r="J960" s="1" t="s">
        <v>3008</v>
      </c>
      <c r="L960" s="53">
        <v>0.16800000000000001</v>
      </c>
      <c r="M960" s="39">
        <v>1038</v>
      </c>
      <c r="N960" s="39"/>
      <c r="O960" s="39"/>
      <c r="P960" s="39"/>
      <c r="Q960" s="39"/>
      <c r="R960" s="39"/>
      <c r="S960" s="39"/>
      <c r="T960" s="39"/>
      <c r="U960" s="39"/>
      <c r="V960" s="39"/>
      <c r="W960" s="60"/>
    </row>
    <row r="961" spans="1:23" ht="25.5" x14ac:dyDescent="0.2">
      <c r="A961" s="1" t="s">
        <v>116</v>
      </c>
      <c r="B961" s="2" t="s">
        <v>38</v>
      </c>
      <c r="C961" s="2" t="s">
        <v>117</v>
      </c>
      <c r="D961" s="2" t="s">
        <v>118</v>
      </c>
      <c r="E961" s="2">
        <v>2021</v>
      </c>
      <c r="F961" s="2" t="s">
        <v>1781</v>
      </c>
      <c r="G961" s="2" t="s">
        <v>1667</v>
      </c>
      <c r="H961" s="2" t="s">
        <v>1669</v>
      </c>
      <c r="I961" s="1" t="s">
        <v>14</v>
      </c>
      <c r="J961" s="1" t="s">
        <v>3009</v>
      </c>
      <c r="L961" s="53">
        <v>0.16520000000000001</v>
      </c>
      <c r="M961" s="39">
        <f>1236.05/2</f>
        <v>618.02499999999998</v>
      </c>
      <c r="N961" s="39">
        <f>1236.05/2</f>
        <v>618.02499999999998</v>
      </c>
      <c r="O961" s="39"/>
      <c r="P961" s="39"/>
      <c r="Q961" s="39"/>
      <c r="R961" s="39"/>
      <c r="S961" s="39"/>
      <c r="T961" s="39"/>
      <c r="U961" s="39"/>
      <c r="V961" s="39"/>
      <c r="W961" s="60" t="s">
        <v>3010</v>
      </c>
    </row>
    <row r="962" spans="1:23" ht="25.5" x14ac:dyDescent="0.2">
      <c r="A962" s="1" t="s">
        <v>116</v>
      </c>
      <c r="B962" s="2" t="s">
        <v>38</v>
      </c>
      <c r="C962" s="2" t="s">
        <v>117</v>
      </c>
      <c r="D962" s="2" t="s">
        <v>118</v>
      </c>
      <c r="E962" s="2">
        <v>2021</v>
      </c>
      <c r="F962" s="2" t="s">
        <v>1783</v>
      </c>
      <c r="G962" s="2" t="s">
        <v>1667</v>
      </c>
      <c r="H962" s="2" t="s">
        <v>1669</v>
      </c>
      <c r="I962" s="1" t="s">
        <v>14</v>
      </c>
      <c r="J962" s="1" t="s">
        <v>3011</v>
      </c>
      <c r="L962" s="53">
        <v>0.17169999999999999</v>
      </c>
      <c r="M962" s="39">
        <v>893.13</v>
      </c>
      <c r="N962" s="39"/>
      <c r="O962" s="39"/>
      <c r="P962" s="39"/>
      <c r="Q962" s="39"/>
      <c r="R962" s="39"/>
      <c r="S962" s="39"/>
      <c r="T962" s="39"/>
      <c r="U962" s="39"/>
      <c r="V962" s="39"/>
      <c r="W962" s="60"/>
    </row>
    <row r="963" spans="1:23" ht="25.5" x14ac:dyDescent="0.2">
      <c r="A963" s="1" t="s">
        <v>116</v>
      </c>
      <c r="B963" s="2" t="s">
        <v>38</v>
      </c>
      <c r="C963" s="2" t="s">
        <v>117</v>
      </c>
      <c r="D963" s="2" t="s">
        <v>118</v>
      </c>
      <c r="E963" s="2">
        <v>2021</v>
      </c>
      <c r="F963" s="2" t="s">
        <v>1785</v>
      </c>
      <c r="G963" s="2" t="s">
        <v>1667</v>
      </c>
      <c r="H963" s="2" t="s">
        <v>1669</v>
      </c>
      <c r="I963" s="1" t="s">
        <v>14</v>
      </c>
      <c r="J963" s="1" t="s">
        <v>3012</v>
      </c>
      <c r="L963" s="53">
        <v>0.16769999999999999</v>
      </c>
      <c r="M963" s="39">
        <f>1143.78/2</f>
        <v>571.89</v>
      </c>
      <c r="N963" s="39">
        <f>1143.78/2</f>
        <v>571.89</v>
      </c>
      <c r="O963" s="39"/>
      <c r="P963" s="39"/>
      <c r="Q963" s="39"/>
      <c r="R963" s="39"/>
      <c r="S963" s="39"/>
      <c r="T963" s="39"/>
      <c r="U963" s="39"/>
      <c r="V963" s="39"/>
      <c r="W963" s="60" t="s">
        <v>3010</v>
      </c>
    </row>
    <row r="964" spans="1:23" ht="25.5" x14ac:dyDescent="0.2">
      <c r="A964" s="1" t="s">
        <v>116</v>
      </c>
      <c r="B964" s="2" t="s">
        <v>38</v>
      </c>
      <c r="C964" s="2" t="s">
        <v>117</v>
      </c>
      <c r="D964" s="2" t="s">
        <v>118</v>
      </c>
      <c r="E964" s="2">
        <v>2021</v>
      </c>
      <c r="F964" s="2" t="s">
        <v>1787</v>
      </c>
      <c r="G964" s="2" t="s">
        <v>1667</v>
      </c>
      <c r="H964" s="2" t="s">
        <v>1669</v>
      </c>
      <c r="I964" s="1" t="s">
        <v>14</v>
      </c>
      <c r="J964" s="1" t="s">
        <v>3013</v>
      </c>
      <c r="L964" s="53">
        <v>0.16800000000000001</v>
      </c>
      <c r="M964" s="39">
        <f>1124.97/2</f>
        <v>562.48500000000001</v>
      </c>
      <c r="N964" s="39">
        <f>1124.97/2</f>
        <v>562.48500000000001</v>
      </c>
      <c r="O964" s="39"/>
      <c r="P964" s="39"/>
      <c r="Q964" s="39"/>
      <c r="R964" s="39"/>
      <c r="S964" s="39"/>
      <c r="T964" s="39"/>
      <c r="U964" s="39"/>
      <c r="V964" s="39"/>
      <c r="W964" s="60" t="s">
        <v>3010</v>
      </c>
    </row>
    <row r="965" spans="1:23" ht="25.5" x14ac:dyDescent="0.2">
      <c r="A965" s="1" t="s">
        <v>116</v>
      </c>
      <c r="B965" s="2" t="s">
        <v>38</v>
      </c>
      <c r="C965" s="2" t="s">
        <v>117</v>
      </c>
      <c r="D965" s="2" t="s">
        <v>118</v>
      </c>
      <c r="E965" s="2">
        <v>2021</v>
      </c>
      <c r="F965" s="2" t="s">
        <v>1789</v>
      </c>
      <c r="G965" s="2" t="s">
        <v>1667</v>
      </c>
      <c r="H965" s="2" t="s">
        <v>1669</v>
      </c>
      <c r="I965" s="1" t="s">
        <v>14</v>
      </c>
      <c r="J965" s="1" t="s">
        <v>3014</v>
      </c>
      <c r="L965" s="53">
        <v>0.1807</v>
      </c>
      <c r="M965" s="39">
        <v>1187.9100000000001</v>
      </c>
      <c r="N965" s="39"/>
      <c r="O965" s="39"/>
      <c r="P965" s="39"/>
      <c r="Q965" s="39"/>
      <c r="R965" s="39"/>
      <c r="S965" s="39"/>
      <c r="T965" s="39"/>
      <c r="U965" s="39"/>
      <c r="V965" s="39"/>
      <c r="W965" s="60"/>
    </row>
    <row r="966" spans="1:23" ht="25.5" x14ac:dyDescent="0.2">
      <c r="A966" s="1" t="s">
        <v>116</v>
      </c>
      <c r="B966" s="2" t="s">
        <v>38</v>
      </c>
      <c r="C966" s="2" t="s">
        <v>117</v>
      </c>
      <c r="D966" s="2" t="s">
        <v>118</v>
      </c>
      <c r="E966" s="2">
        <v>2021</v>
      </c>
      <c r="F966" s="2" t="s">
        <v>1791</v>
      </c>
      <c r="G966" s="2" t="s">
        <v>1667</v>
      </c>
      <c r="H966" s="2" t="s">
        <v>1669</v>
      </c>
      <c r="I966" s="1" t="s">
        <v>14</v>
      </c>
      <c r="J966" s="1" t="s">
        <v>3015</v>
      </c>
      <c r="L966" s="53">
        <v>0.1628</v>
      </c>
      <c r="M966" s="39">
        <f>924.58/2</f>
        <v>462.29</v>
      </c>
      <c r="N966" s="39">
        <f>924.58/2</f>
        <v>462.29</v>
      </c>
      <c r="O966" s="39"/>
      <c r="P966" s="39"/>
      <c r="Q966" s="39"/>
      <c r="R966" s="39"/>
      <c r="S966" s="39"/>
      <c r="T966" s="39"/>
      <c r="U966" s="39"/>
      <c r="V966" s="39"/>
      <c r="W966" s="60" t="s">
        <v>3010</v>
      </c>
    </row>
    <row r="967" spans="1:23" ht="25.5" x14ac:dyDescent="0.2">
      <c r="A967" s="1" t="s">
        <v>116</v>
      </c>
      <c r="B967" s="2" t="s">
        <v>38</v>
      </c>
      <c r="C967" s="2" t="s">
        <v>117</v>
      </c>
      <c r="D967" s="2" t="s">
        <v>118</v>
      </c>
      <c r="E967" s="2">
        <v>2021</v>
      </c>
      <c r="F967" s="2" t="s">
        <v>311</v>
      </c>
      <c r="G967" s="2" t="s">
        <v>1667</v>
      </c>
      <c r="H967" s="2" t="s">
        <v>1669</v>
      </c>
      <c r="I967" s="1" t="s">
        <v>14</v>
      </c>
      <c r="J967" s="1" t="s">
        <v>3016</v>
      </c>
      <c r="L967" s="53">
        <v>0.16800000000000001</v>
      </c>
      <c r="M967" s="39">
        <v>306.89999999999998</v>
      </c>
      <c r="N967" s="39">
        <v>571.66999999999996</v>
      </c>
      <c r="O967" s="39"/>
      <c r="P967" s="39"/>
      <c r="Q967" s="39"/>
      <c r="R967" s="39"/>
      <c r="S967" s="39"/>
      <c r="T967" s="39"/>
      <c r="U967" s="39"/>
      <c r="V967" s="39"/>
      <c r="W967" s="60"/>
    </row>
    <row r="968" spans="1:23" ht="25.5" x14ac:dyDescent="0.2">
      <c r="A968" s="1" t="s">
        <v>116</v>
      </c>
      <c r="B968" s="2" t="s">
        <v>38</v>
      </c>
      <c r="C968" s="2" t="s">
        <v>117</v>
      </c>
      <c r="D968" s="2" t="s">
        <v>118</v>
      </c>
      <c r="E968" s="2">
        <v>2021</v>
      </c>
      <c r="F968" s="2" t="s">
        <v>1794</v>
      </c>
      <c r="G968" s="2" t="s">
        <v>1667</v>
      </c>
      <c r="H968" s="2" t="s">
        <v>1669</v>
      </c>
      <c r="I968" s="1" t="s">
        <v>14</v>
      </c>
      <c r="J968" s="1" t="s">
        <v>3017</v>
      </c>
      <c r="L968" s="53">
        <v>0.16800000000000001</v>
      </c>
      <c r="M968" s="39">
        <f>872.83/2</f>
        <v>436.41500000000002</v>
      </c>
      <c r="N968" s="39">
        <f>872.83/2</f>
        <v>436.41500000000002</v>
      </c>
      <c r="O968" s="39"/>
      <c r="P968" s="39"/>
      <c r="Q968" s="39"/>
      <c r="R968" s="39"/>
      <c r="S968" s="39"/>
      <c r="T968" s="39"/>
      <c r="U968" s="39"/>
      <c r="V968" s="39"/>
      <c r="W968" s="60" t="s">
        <v>3010</v>
      </c>
    </row>
    <row r="969" spans="1:23" ht="25.5" x14ac:dyDescent="0.2">
      <c r="A969" s="1" t="s">
        <v>116</v>
      </c>
      <c r="B969" s="2" t="s">
        <v>38</v>
      </c>
      <c r="C969" s="2" t="s">
        <v>117</v>
      </c>
      <c r="D969" s="2" t="s">
        <v>118</v>
      </c>
      <c r="E969" s="2">
        <v>2021</v>
      </c>
      <c r="F969" s="2" t="s">
        <v>1796</v>
      </c>
      <c r="G969" s="2" t="s">
        <v>1667</v>
      </c>
      <c r="H969" s="2" t="s">
        <v>1669</v>
      </c>
      <c r="I969" s="1" t="s">
        <v>14</v>
      </c>
      <c r="J969" s="1" t="s">
        <v>3018</v>
      </c>
      <c r="L969" s="53">
        <v>0.15570000000000001</v>
      </c>
      <c r="M969" s="39">
        <f>872.82/2</f>
        <v>436.41</v>
      </c>
      <c r="N969" s="39">
        <f>872.82/2</f>
        <v>436.41</v>
      </c>
      <c r="O969" s="39"/>
      <c r="P969" s="39"/>
      <c r="Q969" s="39"/>
      <c r="R969" s="39"/>
      <c r="S969" s="39"/>
      <c r="T969" s="39"/>
      <c r="U969" s="39"/>
      <c r="V969" s="39"/>
      <c r="W969" s="60" t="s">
        <v>3010</v>
      </c>
    </row>
    <row r="970" spans="1:23" ht="25.5" x14ac:dyDescent="0.2">
      <c r="A970" s="1" t="s">
        <v>116</v>
      </c>
      <c r="B970" s="2" t="s">
        <v>38</v>
      </c>
      <c r="C970" s="2" t="s">
        <v>117</v>
      </c>
      <c r="D970" s="2" t="s">
        <v>118</v>
      </c>
      <c r="E970" s="2">
        <v>2021</v>
      </c>
      <c r="F970" s="2" t="s">
        <v>1798</v>
      </c>
      <c r="G970" s="2" t="s">
        <v>1667</v>
      </c>
      <c r="H970" s="2" t="s">
        <v>1669</v>
      </c>
      <c r="I970" s="1" t="s">
        <v>14</v>
      </c>
      <c r="J970" s="1" t="s">
        <v>3019</v>
      </c>
      <c r="L970" s="53">
        <v>0.16800000000000001</v>
      </c>
      <c r="M970" s="39">
        <v>414.75</v>
      </c>
      <c r="N970" s="39">
        <v>622.27</v>
      </c>
      <c r="O970" s="39"/>
      <c r="P970" s="39"/>
      <c r="Q970" s="39"/>
      <c r="R970" s="39"/>
      <c r="S970" s="39"/>
      <c r="T970" s="39"/>
      <c r="U970" s="39"/>
      <c r="V970" s="39"/>
      <c r="W970" s="60"/>
    </row>
    <row r="971" spans="1:23" ht="38.25" x14ac:dyDescent="0.2">
      <c r="A971" s="1" t="s">
        <v>235</v>
      </c>
      <c r="B971" s="2" t="s">
        <v>196</v>
      </c>
      <c r="C971" s="2" t="s">
        <v>236</v>
      </c>
      <c r="D971" s="2" t="s">
        <v>118</v>
      </c>
      <c r="E971" s="2">
        <v>2021</v>
      </c>
      <c r="F971" s="2" t="s">
        <v>1787</v>
      </c>
      <c r="G971" s="2" t="s">
        <v>1669</v>
      </c>
      <c r="H971" s="2" t="s">
        <v>1669</v>
      </c>
      <c r="I971" s="1" t="s">
        <v>3020</v>
      </c>
      <c r="J971" s="1" t="s">
        <v>403</v>
      </c>
      <c r="L971" s="53"/>
      <c r="M971" s="39"/>
      <c r="N971" s="39"/>
      <c r="O971" s="39"/>
      <c r="P971" s="39"/>
      <c r="Q971" s="39"/>
      <c r="R971" s="39"/>
      <c r="S971" s="39"/>
      <c r="T971" s="39"/>
      <c r="U971" s="39"/>
      <c r="V971" s="39"/>
      <c r="W971" s="60" t="s">
        <v>1695</v>
      </c>
    </row>
    <row r="972" spans="1:23" ht="51" x14ac:dyDescent="0.2">
      <c r="A972" s="1" t="s">
        <v>235</v>
      </c>
      <c r="B972" s="2" t="s">
        <v>196</v>
      </c>
      <c r="C972" s="2" t="s">
        <v>236</v>
      </c>
      <c r="D972" s="2" t="s">
        <v>118</v>
      </c>
      <c r="E972" s="2">
        <v>2021</v>
      </c>
      <c r="F972" s="2" t="s">
        <v>1789</v>
      </c>
      <c r="G972" s="2" t="s">
        <v>1669</v>
      </c>
      <c r="H972" s="2" t="s">
        <v>1669</v>
      </c>
      <c r="I972" s="1" t="s">
        <v>3021</v>
      </c>
      <c r="J972" s="1" t="s">
        <v>403</v>
      </c>
      <c r="L972" s="53"/>
      <c r="M972" s="39"/>
      <c r="N972" s="39"/>
      <c r="O972" s="39"/>
      <c r="P972" s="39"/>
      <c r="Q972" s="39"/>
      <c r="R972" s="39"/>
      <c r="S972" s="39"/>
      <c r="T972" s="39"/>
      <c r="U972" s="39"/>
      <c r="V972" s="39"/>
      <c r="W972" s="60" t="s">
        <v>1695</v>
      </c>
    </row>
    <row r="973" spans="1:23" ht="51" x14ac:dyDescent="0.2">
      <c r="A973" s="1" t="s">
        <v>235</v>
      </c>
      <c r="B973" s="2" t="s">
        <v>196</v>
      </c>
      <c r="C973" s="2" t="s">
        <v>236</v>
      </c>
      <c r="D973" s="2" t="s">
        <v>118</v>
      </c>
      <c r="E973" s="2">
        <v>2021</v>
      </c>
      <c r="F973" s="2" t="s">
        <v>1791</v>
      </c>
      <c r="G973" s="2" t="s">
        <v>1669</v>
      </c>
      <c r="H973" s="2" t="s">
        <v>1669</v>
      </c>
      <c r="I973" s="1" t="s">
        <v>3022</v>
      </c>
      <c r="J973" s="1" t="s">
        <v>403</v>
      </c>
      <c r="L973" s="53"/>
      <c r="M973" s="39"/>
      <c r="N973" s="39"/>
      <c r="O973" s="39"/>
      <c r="P973" s="39"/>
      <c r="Q973" s="39"/>
      <c r="R973" s="39"/>
      <c r="S973" s="39"/>
      <c r="T973" s="39"/>
      <c r="U973" s="39"/>
      <c r="V973" s="39"/>
      <c r="W973" s="60" t="s">
        <v>1695</v>
      </c>
    </row>
    <row r="974" spans="1:23" ht="51" x14ac:dyDescent="0.2">
      <c r="A974" s="1" t="s">
        <v>235</v>
      </c>
      <c r="B974" s="2" t="s">
        <v>196</v>
      </c>
      <c r="C974" s="2" t="s">
        <v>236</v>
      </c>
      <c r="D974" s="2" t="s">
        <v>118</v>
      </c>
      <c r="E974" s="2">
        <v>2021</v>
      </c>
      <c r="F974" s="2" t="s">
        <v>1794</v>
      </c>
      <c r="G974" s="2" t="s">
        <v>1669</v>
      </c>
      <c r="H974" s="2" t="s">
        <v>1669</v>
      </c>
      <c r="I974" s="1" t="s">
        <v>3023</v>
      </c>
      <c r="J974" s="1" t="s">
        <v>403</v>
      </c>
      <c r="L974" s="53"/>
      <c r="M974" s="39"/>
      <c r="N974" s="39"/>
      <c r="O974" s="39"/>
      <c r="P974" s="39"/>
      <c r="Q974" s="39"/>
      <c r="R974" s="39"/>
      <c r="S974" s="39"/>
      <c r="T974" s="39"/>
      <c r="U974" s="39"/>
      <c r="V974" s="39"/>
      <c r="W974" s="60"/>
    </row>
    <row r="975" spans="1:23" ht="63.75" x14ac:dyDescent="0.2">
      <c r="A975" s="1" t="s">
        <v>3024</v>
      </c>
      <c r="B975" s="2" t="s">
        <v>196</v>
      </c>
      <c r="C975" s="2" t="s">
        <v>3025</v>
      </c>
      <c r="D975" s="2" t="s">
        <v>415</v>
      </c>
      <c r="E975" s="2">
        <v>2021</v>
      </c>
      <c r="F975" s="2" t="s">
        <v>1796</v>
      </c>
      <c r="G975" s="2" t="s">
        <v>1669</v>
      </c>
      <c r="H975" s="2" t="s">
        <v>1668</v>
      </c>
      <c r="I975" s="1" t="s">
        <v>3026</v>
      </c>
      <c r="J975" s="1" t="s">
        <v>14</v>
      </c>
      <c r="L975" s="53"/>
      <c r="M975" s="39"/>
      <c r="N975" s="39"/>
      <c r="O975" s="39"/>
      <c r="P975" s="39"/>
      <c r="Q975" s="39"/>
      <c r="R975" s="39"/>
      <c r="S975" s="39"/>
      <c r="T975" s="39"/>
      <c r="U975" s="39"/>
      <c r="V975" s="39"/>
      <c r="W975" s="60" t="s">
        <v>1693</v>
      </c>
    </row>
    <row r="976" spans="1:23" ht="89.25" x14ac:dyDescent="0.2">
      <c r="A976" s="1" t="s">
        <v>287</v>
      </c>
      <c r="B976" s="2" t="s">
        <v>196</v>
      </c>
      <c r="C976" s="2" t="s">
        <v>288</v>
      </c>
      <c r="D976" s="2" t="s">
        <v>33</v>
      </c>
      <c r="E976" s="2">
        <v>2021</v>
      </c>
      <c r="F976" s="2" t="s">
        <v>1789</v>
      </c>
      <c r="G976" s="2" t="s">
        <v>1668</v>
      </c>
      <c r="H976" s="2" t="s">
        <v>1669</v>
      </c>
      <c r="I976" s="1" t="s">
        <v>14</v>
      </c>
      <c r="J976" s="1" t="s">
        <v>3027</v>
      </c>
      <c r="L976" s="53">
        <v>0.2</v>
      </c>
      <c r="M976" s="39"/>
      <c r="N976" s="39"/>
      <c r="O976" s="39">
        <f>653*0.8</f>
        <v>522.4</v>
      </c>
      <c r="P976" s="39"/>
      <c r="Q976" s="39"/>
      <c r="R976" s="39"/>
      <c r="S976" s="39"/>
      <c r="T976" s="39"/>
      <c r="U976" s="39"/>
      <c r="V976" s="39"/>
      <c r="W976" s="60" t="s">
        <v>1680</v>
      </c>
    </row>
    <row r="977" spans="1:23" ht="76.5" x14ac:dyDescent="0.2">
      <c r="A977" s="1" t="s">
        <v>306</v>
      </c>
      <c r="B977" s="2" t="s">
        <v>196</v>
      </c>
      <c r="C977" s="2" t="s">
        <v>307</v>
      </c>
      <c r="D977" s="2" t="s">
        <v>230</v>
      </c>
      <c r="E977" s="2">
        <v>2021</v>
      </c>
      <c r="F977" s="2" t="s">
        <v>1791</v>
      </c>
      <c r="G977" s="2" t="s">
        <v>1668</v>
      </c>
      <c r="H977" s="2" t="s">
        <v>1669</v>
      </c>
      <c r="I977" s="1" t="s">
        <v>14</v>
      </c>
      <c r="J977" s="1" t="s">
        <v>3028</v>
      </c>
      <c r="L977" s="53">
        <v>0.27</v>
      </c>
      <c r="M977" s="39"/>
      <c r="N977" s="39"/>
      <c r="O977" s="39">
        <f>187+772</f>
        <v>959</v>
      </c>
      <c r="P977" s="39"/>
      <c r="Q977" s="39"/>
      <c r="R977" s="39"/>
      <c r="S977" s="39"/>
      <c r="T977" s="39"/>
      <c r="U977" s="39"/>
      <c r="V977" s="39"/>
      <c r="W977" s="60"/>
    </row>
    <row r="978" spans="1:23" ht="25.5" x14ac:dyDescent="0.2">
      <c r="A978" s="1" t="s">
        <v>3029</v>
      </c>
      <c r="B978" s="2" t="s">
        <v>196</v>
      </c>
      <c r="C978" s="2" t="s">
        <v>3030</v>
      </c>
      <c r="D978" s="2" t="s">
        <v>146</v>
      </c>
      <c r="E978" s="2">
        <v>2021</v>
      </c>
      <c r="F978" s="2" t="s">
        <v>1789</v>
      </c>
      <c r="G978" s="2" t="s">
        <v>1669</v>
      </c>
      <c r="H978" s="2" t="s">
        <v>1669</v>
      </c>
      <c r="I978" s="1" t="s">
        <v>3031</v>
      </c>
      <c r="J978" s="1" t="s">
        <v>3032</v>
      </c>
      <c r="L978" s="53">
        <v>4.0300000000000002E-2</v>
      </c>
      <c r="M978" s="39"/>
      <c r="N978" s="39"/>
      <c r="O978" s="39">
        <v>1574</v>
      </c>
      <c r="P978" s="39"/>
      <c r="Q978" s="39"/>
      <c r="R978" s="39"/>
      <c r="S978" s="39"/>
      <c r="T978" s="39"/>
      <c r="U978" s="39"/>
      <c r="V978" s="39"/>
      <c r="W978" s="60" t="s">
        <v>1699</v>
      </c>
    </row>
    <row r="979" spans="1:23" ht="51" x14ac:dyDescent="0.2">
      <c r="A979" s="1" t="s">
        <v>244</v>
      </c>
      <c r="B979" s="2" t="s">
        <v>383</v>
      </c>
      <c r="C979" s="2" t="s">
        <v>245</v>
      </c>
      <c r="D979" s="2" t="s">
        <v>246</v>
      </c>
      <c r="E979" s="2">
        <v>2021</v>
      </c>
      <c r="F979" s="2" t="s">
        <v>1787</v>
      </c>
      <c r="G979" s="2" t="s">
        <v>1669</v>
      </c>
      <c r="H979" s="2" t="s">
        <v>1669</v>
      </c>
      <c r="I979" s="1" t="s">
        <v>3033</v>
      </c>
      <c r="J979" s="1" t="s">
        <v>3034</v>
      </c>
      <c r="L979" s="53">
        <v>0.2</v>
      </c>
      <c r="M979" s="39"/>
      <c r="N979" s="39"/>
      <c r="O979" s="39">
        <f>290/L979</f>
        <v>1450</v>
      </c>
      <c r="P979" s="39"/>
      <c r="Q979" s="39"/>
      <c r="R979" s="39"/>
      <c r="S979" s="39"/>
      <c r="T979" s="39"/>
      <c r="U979" s="39"/>
      <c r="V979" s="39"/>
      <c r="W979" s="60" t="s">
        <v>3035</v>
      </c>
    </row>
    <row r="980" spans="1:23" ht="25.5" x14ac:dyDescent="0.2">
      <c r="A980" s="1" t="s">
        <v>244</v>
      </c>
      <c r="B980" s="2" t="s">
        <v>383</v>
      </c>
      <c r="C980" s="2" t="s">
        <v>245</v>
      </c>
      <c r="D980" s="2" t="s">
        <v>246</v>
      </c>
      <c r="E980" s="2">
        <v>2021</v>
      </c>
      <c r="F980" s="2" t="s">
        <v>1789</v>
      </c>
      <c r="G980" s="2" t="s">
        <v>1669</v>
      </c>
      <c r="H980" s="2" t="s">
        <v>1668</v>
      </c>
      <c r="I980" s="1" t="s">
        <v>3036</v>
      </c>
      <c r="J980" s="1" t="s">
        <v>14</v>
      </c>
      <c r="L980" s="53"/>
      <c r="M980" s="39"/>
      <c r="N980" s="39"/>
      <c r="O980" s="39"/>
      <c r="P980" s="39"/>
      <c r="Q980" s="39"/>
      <c r="R980" s="39"/>
      <c r="S980" s="39"/>
      <c r="T980" s="39"/>
      <c r="U980" s="39"/>
      <c r="V980" s="39"/>
      <c r="W980" s="60" t="s">
        <v>1695</v>
      </c>
    </row>
    <row r="981" spans="1:23" ht="25.5" x14ac:dyDescent="0.2">
      <c r="A981" s="1" t="s">
        <v>244</v>
      </c>
      <c r="B981" s="2" t="s">
        <v>383</v>
      </c>
      <c r="C981" s="2" t="s">
        <v>245</v>
      </c>
      <c r="D981" s="2" t="s">
        <v>246</v>
      </c>
      <c r="E981" s="2">
        <v>2021</v>
      </c>
      <c r="F981" s="2" t="s">
        <v>1791</v>
      </c>
      <c r="G981" s="2" t="s">
        <v>1669</v>
      </c>
      <c r="H981" s="2" t="s">
        <v>1668</v>
      </c>
      <c r="I981" s="1" t="s">
        <v>3037</v>
      </c>
      <c r="J981" s="1" t="s">
        <v>14</v>
      </c>
      <c r="L981" s="53"/>
      <c r="M981" s="39"/>
      <c r="N981" s="39"/>
      <c r="O981" s="39"/>
      <c r="P981" s="39"/>
      <c r="Q981" s="39"/>
      <c r="R981" s="39"/>
      <c r="S981" s="39"/>
      <c r="T981" s="39"/>
      <c r="U981" s="39"/>
      <c r="V981" s="39"/>
      <c r="W981" s="60" t="s">
        <v>1695</v>
      </c>
    </row>
    <row r="982" spans="1:23" ht="38.25" x14ac:dyDescent="0.2">
      <c r="A982" s="1" t="s">
        <v>3038</v>
      </c>
      <c r="B982" s="2" t="s">
        <v>196</v>
      </c>
      <c r="C982" s="2" t="s">
        <v>3039</v>
      </c>
      <c r="D982" s="2" t="s">
        <v>173</v>
      </c>
      <c r="E982" s="2">
        <v>2021</v>
      </c>
      <c r="F982" s="2" t="s">
        <v>1798</v>
      </c>
      <c r="G982" s="2" t="s">
        <v>1669</v>
      </c>
      <c r="H982" s="2" t="s">
        <v>1668</v>
      </c>
      <c r="I982" s="1" t="s">
        <v>3040</v>
      </c>
      <c r="J982" s="1" t="s">
        <v>14</v>
      </c>
      <c r="L982" s="53"/>
      <c r="M982" s="39"/>
      <c r="N982" s="39"/>
      <c r="O982" s="39"/>
      <c r="P982" s="39"/>
      <c r="Q982" s="39"/>
      <c r="R982" s="39"/>
      <c r="S982" s="39"/>
      <c r="T982" s="39"/>
      <c r="U982" s="39"/>
      <c r="V982" s="39"/>
      <c r="W982" s="60" t="s">
        <v>1693</v>
      </c>
    </row>
    <row r="983" spans="1:23" ht="63.75" x14ac:dyDescent="0.2">
      <c r="A983" s="1" t="s">
        <v>248</v>
      </c>
      <c r="B983" s="2" t="s">
        <v>32</v>
      </c>
      <c r="C983" s="2" t="s">
        <v>249</v>
      </c>
      <c r="D983" s="2" t="s">
        <v>77</v>
      </c>
      <c r="E983" s="2">
        <v>2021</v>
      </c>
      <c r="F983" s="2" t="s">
        <v>1785</v>
      </c>
      <c r="G983" s="2" t="s">
        <v>1667</v>
      </c>
      <c r="H983" s="2" t="s">
        <v>1669</v>
      </c>
      <c r="I983" s="1" t="s">
        <v>14</v>
      </c>
      <c r="J983" s="1" t="s">
        <v>3041</v>
      </c>
      <c r="L983" s="33">
        <v>4.2000000000000003E-2</v>
      </c>
      <c r="M983" s="15"/>
      <c r="N983" s="15"/>
      <c r="O983" s="15"/>
      <c r="P983" s="15"/>
      <c r="Q983" s="15"/>
      <c r="R983" s="15"/>
      <c r="S983" s="15"/>
      <c r="T983" s="15"/>
      <c r="U983" s="15"/>
      <c r="V983" s="56">
        <f>38541*0.004546</f>
        <v>175.20738599999999</v>
      </c>
      <c r="W983" s="65" t="s">
        <v>1699</v>
      </c>
    </row>
    <row r="984" spans="1:23" ht="63.75" x14ac:dyDescent="0.2">
      <c r="A984" s="1" t="s">
        <v>248</v>
      </c>
      <c r="B984" s="2" t="s">
        <v>32</v>
      </c>
      <c r="C984" s="2" t="s">
        <v>249</v>
      </c>
      <c r="D984" s="2" t="s">
        <v>77</v>
      </c>
      <c r="E984" s="2">
        <v>2021</v>
      </c>
      <c r="F984" s="2" t="s">
        <v>1791</v>
      </c>
      <c r="G984" s="2" t="s">
        <v>1667</v>
      </c>
      <c r="H984" s="2" t="s">
        <v>1669</v>
      </c>
      <c r="I984" s="1" t="s">
        <v>14</v>
      </c>
      <c r="J984" s="1" t="s">
        <v>3042</v>
      </c>
      <c r="L984" s="53" t="s">
        <v>1670</v>
      </c>
      <c r="M984" s="39"/>
      <c r="N984" s="39"/>
      <c r="O984" s="39"/>
      <c r="P984" s="39"/>
      <c r="Q984" s="39"/>
      <c r="R984" s="39"/>
      <c r="S984" s="39"/>
      <c r="T984" s="39"/>
      <c r="U984" s="39"/>
      <c r="V984" s="57">
        <v>156.72</v>
      </c>
      <c r="W984" s="65" t="s">
        <v>1699</v>
      </c>
    </row>
    <row r="985" spans="1:23" ht="51" x14ac:dyDescent="0.2">
      <c r="A985" s="1" t="s">
        <v>248</v>
      </c>
      <c r="B985" s="2" t="s">
        <v>32</v>
      </c>
      <c r="C985" s="2" t="s">
        <v>249</v>
      </c>
      <c r="D985" s="2" t="s">
        <v>77</v>
      </c>
      <c r="E985" s="2">
        <v>2021</v>
      </c>
      <c r="F985" s="2" t="s">
        <v>1796</v>
      </c>
      <c r="G985" s="2" t="s">
        <v>1667</v>
      </c>
      <c r="H985" s="2" t="s">
        <v>1669</v>
      </c>
      <c r="I985" s="1" t="s">
        <v>14</v>
      </c>
      <c r="J985" s="1" t="s">
        <v>3043</v>
      </c>
      <c r="L985" s="53">
        <v>0.06</v>
      </c>
      <c r="M985" s="39"/>
      <c r="N985" s="39"/>
      <c r="O985" s="39"/>
      <c r="P985" s="39"/>
      <c r="Q985" s="39"/>
      <c r="R985" s="39"/>
      <c r="S985" s="39"/>
      <c r="T985" s="39"/>
      <c r="U985" s="39"/>
      <c r="V985" s="57">
        <v>117.77</v>
      </c>
      <c r="W985" s="65" t="s">
        <v>1699</v>
      </c>
    </row>
    <row r="986" spans="1:23" ht="102" x14ac:dyDescent="0.2">
      <c r="A986" s="1" t="s">
        <v>81</v>
      </c>
      <c r="B986" s="2" t="s">
        <v>29</v>
      </c>
      <c r="C986" s="2" t="s">
        <v>82</v>
      </c>
      <c r="D986" s="2" t="s">
        <v>58</v>
      </c>
      <c r="E986" s="2">
        <v>2021</v>
      </c>
      <c r="F986" s="2" t="s">
        <v>1776</v>
      </c>
      <c r="G986" s="2" t="s">
        <v>1669</v>
      </c>
      <c r="H986" s="2" t="s">
        <v>1669</v>
      </c>
      <c r="I986" s="1" t="s">
        <v>3044</v>
      </c>
      <c r="J986" s="1" t="s">
        <v>3045</v>
      </c>
      <c r="L986" s="33">
        <v>0.152</v>
      </c>
      <c r="M986" s="15"/>
      <c r="N986" s="15"/>
      <c r="O986" s="15"/>
      <c r="P986" s="15"/>
      <c r="Q986" s="15"/>
      <c r="R986" s="15"/>
      <c r="S986" s="15">
        <v>118.5</v>
      </c>
      <c r="T986" s="15"/>
      <c r="U986" s="15"/>
      <c r="V986" s="15"/>
      <c r="W986" s="60" t="s">
        <v>1737</v>
      </c>
    </row>
    <row r="987" spans="1:23" ht="102" x14ac:dyDescent="0.2">
      <c r="A987" s="1" t="s">
        <v>81</v>
      </c>
      <c r="B987" s="2" t="s">
        <v>29</v>
      </c>
      <c r="C987" s="2" t="s">
        <v>82</v>
      </c>
      <c r="D987" s="2" t="s">
        <v>58</v>
      </c>
      <c r="E987" s="2">
        <v>2021</v>
      </c>
      <c r="F987" s="2" t="s">
        <v>1779</v>
      </c>
      <c r="G987" s="2" t="s">
        <v>1669</v>
      </c>
      <c r="H987" s="2" t="s">
        <v>1669</v>
      </c>
      <c r="I987" s="1" t="s">
        <v>3046</v>
      </c>
      <c r="J987" s="1" t="s">
        <v>3047</v>
      </c>
      <c r="L987" s="53">
        <v>0.1583</v>
      </c>
      <c r="M987" s="39"/>
      <c r="N987" s="39"/>
      <c r="O987" s="39"/>
      <c r="P987" s="39"/>
      <c r="Q987" s="39"/>
      <c r="R987" s="39"/>
      <c r="S987" s="39">
        <v>102.9</v>
      </c>
      <c r="T987" s="39"/>
      <c r="U987" s="39"/>
      <c r="V987" s="39"/>
      <c r="W987" s="60" t="s">
        <v>1737</v>
      </c>
    </row>
    <row r="988" spans="1:23" ht="76.5" x14ac:dyDescent="0.2">
      <c r="A988" s="1" t="s">
        <v>81</v>
      </c>
      <c r="B988" s="2" t="s">
        <v>29</v>
      </c>
      <c r="C988" s="2" t="s">
        <v>82</v>
      </c>
      <c r="D988" s="2" t="s">
        <v>58</v>
      </c>
      <c r="E988" s="2">
        <v>2021</v>
      </c>
      <c r="F988" s="2" t="s">
        <v>1781</v>
      </c>
      <c r="G988" s="2" t="s">
        <v>1669</v>
      </c>
      <c r="H988" s="2" t="s">
        <v>1669</v>
      </c>
      <c r="I988" s="1" t="s">
        <v>3048</v>
      </c>
      <c r="J988" s="1" t="s">
        <v>3049</v>
      </c>
      <c r="L988" s="53">
        <v>0.16</v>
      </c>
      <c r="M988" s="39"/>
      <c r="N988" s="39"/>
      <c r="O988" s="39"/>
      <c r="P988" s="39"/>
      <c r="Q988" s="39"/>
      <c r="R988" s="39"/>
      <c r="S988" s="39">
        <v>93.1</v>
      </c>
      <c r="T988" s="39"/>
      <c r="U988" s="39"/>
      <c r="V988" s="39"/>
      <c r="W988" s="60" t="s">
        <v>1737</v>
      </c>
    </row>
    <row r="989" spans="1:23" ht="102" x14ac:dyDescent="0.2">
      <c r="A989" s="1" t="s">
        <v>81</v>
      </c>
      <c r="B989" s="2" t="s">
        <v>29</v>
      </c>
      <c r="C989" s="2" t="s">
        <v>82</v>
      </c>
      <c r="D989" s="2" t="s">
        <v>58</v>
      </c>
      <c r="E989" s="2">
        <v>2021</v>
      </c>
      <c r="F989" s="2" t="s">
        <v>1783</v>
      </c>
      <c r="G989" s="2" t="s">
        <v>1669</v>
      </c>
      <c r="H989" s="2" t="s">
        <v>1669</v>
      </c>
      <c r="I989" s="1" t="s">
        <v>3050</v>
      </c>
      <c r="J989" s="1" t="s">
        <v>3051</v>
      </c>
      <c r="L989" s="53">
        <v>0.14169999999999999</v>
      </c>
      <c r="M989" s="39"/>
      <c r="N989" s="39"/>
      <c r="O989" s="39"/>
      <c r="P989" s="39"/>
      <c r="Q989" s="39"/>
      <c r="R989" s="39"/>
      <c r="S989" s="39">
        <v>97.8</v>
      </c>
      <c r="T989" s="39"/>
      <c r="U989" s="39"/>
      <c r="V989" s="39"/>
      <c r="W989" s="60" t="s">
        <v>1737</v>
      </c>
    </row>
    <row r="990" spans="1:23" ht="102" x14ac:dyDescent="0.2">
      <c r="A990" s="1" t="s">
        <v>81</v>
      </c>
      <c r="B990" s="2" t="s">
        <v>29</v>
      </c>
      <c r="C990" s="2" t="s">
        <v>82</v>
      </c>
      <c r="D990" s="2" t="s">
        <v>58</v>
      </c>
      <c r="E990" s="2">
        <v>2021</v>
      </c>
      <c r="F990" s="2" t="s">
        <v>1785</v>
      </c>
      <c r="G990" s="2" t="s">
        <v>1669</v>
      </c>
      <c r="H990" s="2" t="s">
        <v>1669</v>
      </c>
      <c r="I990" s="1" t="s">
        <v>3052</v>
      </c>
      <c r="J990" s="1" t="s">
        <v>3053</v>
      </c>
      <c r="L990" s="53">
        <v>0.13600000000000001</v>
      </c>
      <c r="M990" s="39"/>
      <c r="N990" s="39"/>
      <c r="O990" s="39"/>
      <c r="P990" s="39"/>
      <c r="Q990" s="39"/>
      <c r="R990" s="39"/>
      <c r="S990" s="39">
        <v>102.9</v>
      </c>
      <c r="T990" s="39"/>
      <c r="U990" s="39"/>
      <c r="V990" s="39"/>
      <c r="W990" s="60" t="s">
        <v>1737</v>
      </c>
    </row>
    <row r="991" spans="1:23" ht="102" x14ac:dyDescent="0.2">
      <c r="A991" s="1" t="s">
        <v>81</v>
      </c>
      <c r="B991" s="2" t="s">
        <v>29</v>
      </c>
      <c r="C991" s="2" t="s">
        <v>82</v>
      </c>
      <c r="D991" s="2" t="s">
        <v>58</v>
      </c>
      <c r="E991" s="2">
        <v>2021</v>
      </c>
      <c r="F991" s="2" t="s">
        <v>1787</v>
      </c>
      <c r="G991" s="2" t="s">
        <v>1669</v>
      </c>
      <c r="H991" s="2" t="s">
        <v>1669</v>
      </c>
      <c r="I991" s="1" t="s">
        <v>3054</v>
      </c>
      <c r="J991" s="1" t="s">
        <v>3055</v>
      </c>
      <c r="L991" s="53">
        <v>0.14860000000000001</v>
      </c>
      <c r="M991" s="39"/>
      <c r="N991" s="39"/>
      <c r="O991" s="39"/>
      <c r="P991" s="39"/>
      <c r="Q991" s="39"/>
      <c r="R991" s="39"/>
      <c r="S991" s="39">
        <v>184.6</v>
      </c>
      <c r="T991" s="39"/>
      <c r="U991" s="39"/>
      <c r="V991" s="39"/>
      <c r="W991" s="60" t="s">
        <v>1737</v>
      </c>
    </row>
    <row r="992" spans="1:23" ht="89.25" x14ac:dyDescent="0.2">
      <c r="A992" s="1" t="s">
        <v>81</v>
      </c>
      <c r="B992" s="2" t="s">
        <v>29</v>
      </c>
      <c r="C992" s="2" t="s">
        <v>82</v>
      </c>
      <c r="D992" s="2" t="s">
        <v>58</v>
      </c>
      <c r="E992" s="2">
        <v>2021</v>
      </c>
      <c r="F992" s="2" t="s">
        <v>1789</v>
      </c>
      <c r="G992" s="2" t="s">
        <v>1669</v>
      </c>
      <c r="H992" s="2" t="s">
        <v>1669</v>
      </c>
      <c r="I992" s="1" t="s">
        <v>3056</v>
      </c>
      <c r="J992" s="1" t="s">
        <v>3057</v>
      </c>
      <c r="L992" s="53">
        <v>0.14000000000000001</v>
      </c>
      <c r="M992" s="39"/>
      <c r="N992" s="39"/>
      <c r="O992" s="39"/>
      <c r="P992" s="39"/>
      <c r="Q992" s="39"/>
      <c r="R992" s="39"/>
      <c r="S992" s="39">
        <v>184.6</v>
      </c>
      <c r="T992" s="39"/>
      <c r="U992" s="39"/>
      <c r="V992" s="39"/>
      <c r="W992" s="60" t="s">
        <v>1737</v>
      </c>
    </row>
    <row r="993" spans="1:23" ht="102" x14ac:dyDescent="0.2">
      <c r="A993" s="1" t="s">
        <v>81</v>
      </c>
      <c r="B993" s="2" t="s">
        <v>29</v>
      </c>
      <c r="C993" s="2" t="s">
        <v>82</v>
      </c>
      <c r="D993" s="2" t="s">
        <v>58</v>
      </c>
      <c r="E993" s="2">
        <v>2021</v>
      </c>
      <c r="F993" s="2" t="s">
        <v>1791</v>
      </c>
      <c r="G993" s="2" t="s">
        <v>1669</v>
      </c>
      <c r="H993" s="2" t="s">
        <v>1669</v>
      </c>
      <c r="I993" s="1" t="s">
        <v>3058</v>
      </c>
      <c r="J993" s="1" t="s">
        <v>3059</v>
      </c>
      <c r="L993" s="53">
        <v>0.155</v>
      </c>
      <c r="M993" s="39"/>
      <c r="N993" s="39"/>
      <c r="O993" s="39"/>
      <c r="P993" s="39"/>
      <c r="Q993" s="39"/>
      <c r="R993" s="39"/>
      <c r="S993" s="39">
        <v>252.7</v>
      </c>
      <c r="T993" s="39"/>
      <c r="U993" s="39"/>
      <c r="V993" s="39"/>
      <c r="W993" s="60" t="s">
        <v>1737</v>
      </c>
    </row>
    <row r="994" spans="1:23" ht="89.25" x14ac:dyDescent="0.2">
      <c r="A994" s="1" t="s">
        <v>81</v>
      </c>
      <c r="B994" s="2" t="s">
        <v>29</v>
      </c>
      <c r="C994" s="2" t="s">
        <v>82</v>
      </c>
      <c r="D994" s="2" t="s">
        <v>58</v>
      </c>
      <c r="E994" s="2">
        <v>2021</v>
      </c>
      <c r="F994" s="2" t="s">
        <v>311</v>
      </c>
      <c r="G994" s="2" t="s">
        <v>1669</v>
      </c>
      <c r="H994" s="2" t="s">
        <v>1669</v>
      </c>
      <c r="I994" s="1" t="s">
        <v>3060</v>
      </c>
      <c r="J994" s="1" t="s">
        <v>3061</v>
      </c>
      <c r="L994" s="53">
        <v>0.1583</v>
      </c>
      <c r="M994" s="39"/>
      <c r="N994" s="39"/>
      <c r="O994" s="39"/>
      <c r="P994" s="39"/>
      <c r="Q994" s="39"/>
      <c r="R994" s="39"/>
      <c r="S994" s="39">
        <v>251.5</v>
      </c>
      <c r="T994" s="39"/>
      <c r="U994" s="39"/>
      <c r="V994" s="39"/>
      <c r="W994" s="60" t="s">
        <v>1737</v>
      </c>
    </row>
    <row r="995" spans="1:23" ht="102" x14ac:dyDescent="0.2">
      <c r="A995" s="1" t="s">
        <v>81</v>
      </c>
      <c r="B995" s="2" t="s">
        <v>29</v>
      </c>
      <c r="C995" s="2" t="s">
        <v>82</v>
      </c>
      <c r="D995" s="2" t="s">
        <v>58</v>
      </c>
      <c r="E995" s="2">
        <v>2021</v>
      </c>
      <c r="F995" s="2" t="s">
        <v>1794</v>
      </c>
      <c r="G995" s="2" t="s">
        <v>1669</v>
      </c>
      <c r="H995" s="2" t="s">
        <v>1669</v>
      </c>
      <c r="I995" s="1" t="s">
        <v>3062</v>
      </c>
      <c r="J995" s="1" t="s">
        <v>3063</v>
      </c>
      <c r="L995" s="53">
        <v>0.13519999999999999</v>
      </c>
      <c r="M995" s="39"/>
      <c r="N995" s="39"/>
      <c r="O995" s="39"/>
      <c r="P995" s="39"/>
      <c r="Q995" s="39"/>
      <c r="R995" s="39"/>
      <c r="S995" s="39">
        <v>102.9</v>
      </c>
      <c r="T995" s="39"/>
      <c r="U995" s="39"/>
      <c r="V995" s="39"/>
      <c r="W995" s="60" t="s">
        <v>1737</v>
      </c>
    </row>
    <row r="996" spans="1:23" ht="127.5" x14ac:dyDescent="0.2">
      <c r="A996" s="1" t="s">
        <v>3064</v>
      </c>
      <c r="B996" s="2" t="s">
        <v>196</v>
      </c>
      <c r="C996" s="2" t="s">
        <v>2271</v>
      </c>
      <c r="D996" s="2" t="s">
        <v>2272</v>
      </c>
      <c r="E996" s="2">
        <v>2021</v>
      </c>
      <c r="F996" s="2" t="s">
        <v>1794</v>
      </c>
      <c r="G996" s="2" t="s">
        <v>1669</v>
      </c>
      <c r="H996" s="2" t="s">
        <v>1669</v>
      </c>
      <c r="I996" s="1" t="s">
        <v>3065</v>
      </c>
      <c r="J996" s="1" t="s">
        <v>3066</v>
      </c>
      <c r="L996" s="53"/>
      <c r="M996" s="39"/>
      <c r="N996" s="39"/>
      <c r="O996" s="39"/>
      <c r="P996" s="39"/>
      <c r="Q996" s="39"/>
      <c r="R996" s="39"/>
      <c r="S996" s="39"/>
      <c r="T996" s="39"/>
      <c r="U996" s="39"/>
      <c r="V996" s="39"/>
      <c r="W996" s="60" t="s">
        <v>1693</v>
      </c>
    </row>
    <row r="997" spans="1:23" ht="51" x14ac:dyDescent="0.2">
      <c r="A997" s="1" t="s">
        <v>395</v>
      </c>
      <c r="B997" s="2" t="s">
        <v>232</v>
      </c>
      <c r="C997" s="2" t="s">
        <v>396</v>
      </c>
      <c r="D997" s="2" t="s">
        <v>115</v>
      </c>
      <c r="E997" s="2">
        <v>2021</v>
      </c>
      <c r="F997" s="2" t="s">
        <v>1796</v>
      </c>
      <c r="G997" s="2" t="s">
        <v>1669</v>
      </c>
      <c r="H997" s="2" t="s">
        <v>1669</v>
      </c>
      <c r="I997" s="1" t="s">
        <v>3067</v>
      </c>
      <c r="J997" s="1" t="s">
        <v>3068</v>
      </c>
      <c r="L997" s="53" t="s">
        <v>1670</v>
      </c>
      <c r="M997" s="39"/>
      <c r="N997" s="39"/>
      <c r="O997" s="39"/>
      <c r="P997" s="39"/>
      <c r="Q997" s="39"/>
      <c r="R997" s="39">
        <v>22.9</v>
      </c>
      <c r="S997" s="39"/>
      <c r="T997" s="39"/>
      <c r="U997" s="39"/>
      <c r="V997" s="39"/>
      <c r="W997" s="60" t="s">
        <v>1699</v>
      </c>
    </row>
    <row r="998" spans="1:23" x14ac:dyDescent="0.2">
      <c r="L998" s="70"/>
      <c r="M998" s="71">
        <f>SUBTOTAL(109,Tableau2[Quantité (tonnes)
Compostage])</f>
        <v>17058.032277370425</v>
      </c>
      <c r="N998" s="71">
        <f>SUBTOTAL(109,Tableau2[Quantité (tonnes)
Biométhanisation])</f>
        <v>4281.4549999999999</v>
      </c>
      <c r="O998" s="71">
        <f>SUBTOTAL(109,Tableau2[Quantité (tonnes)
Épandage agricole])</f>
        <v>277613.95389775891</v>
      </c>
      <c r="P998" s="71">
        <f>SUBTOTAL(109,Tableau2[Quantité (tonnes)
Restauration site])</f>
        <v>5961.52</v>
      </c>
      <c r="Q998" s="71">
        <f>SUBTOTAL(109,Tableau2[Quantité (tonnes)
Sylviculture])</f>
        <v>0</v>
      </c>
      <c r="R998" s="71">
        <f>SUBTOTAL(109,Tableau2[Quantité (tonnes)
Mode recyclage non précisé])</f>
        <v>22903.162480000006</v>
      </c>
      <c r="S998" s="71">
        <f>SUBTOTAL(109,Tableau2[Quantité (tonnes)
Enfouissement])</f>
        <v>45118.181934811582</v>
      </c>
      <c r="T998" s="71">
        <f>SUBTOTAL(109,Tableau2[Quantité (tonnes)
Incinération])</f>
        <v>312615.82200000004</v>
      </c>
      <c r="U998" s="71">
        <f>SUBTOTAL(109,Tableau2[Quantité (tonnes)
Élimination])</f>
        <v>152</v>
      </c>
      <c r="V998" s="71">
        <f>SUBTOTAL(109,Tableau2[Quantité (tonnes)
Mode de disposition non précisé])</f>
        <v>8556.8443638973349</v>
      </c>
      <c r="W998" s="66">
        <f>SUM(M998:V998)</f>
        <v>694260.97195383837</v>
      </c>
    </row>
    <row r="1021" spans="8:11" x14ac:dyDescent="0.2">
      <c r="J1021" s="9"/>
      <c r="K1021" s="18"/>
    </row>
    <row r="1023" spans="8:11" x14ac:dyDescent="0.2">
      <c r="H1023" s="8"/>
    </row>
    <row r="1024" spans="8:11" x14ac:dyDescent="0.2">
      <c r="H1024" s="8"/>
    </row>
    <row r="1025" spans="8:11" x14ac:dyDescent="0.2">
      <c r="I1025" s="13"/>
      <c r="J1025" s="3"/>
      <c r="K1025" s="19"/>
    </row>
    <row r="1026" spans="8:11" x14ac:dyDescent="0.2">
      <c r="I1026" s="11"/>
      <c r="J1026" s="8"/>
      <c r="K1026" s="20"/>
    </row>
    <row r="1027" spans="8:11" x14ac:dyDescent="0.2">
      <c r="H1027" s="10"/>
      <c r="I1027" s="11"/>
      <c r="J1027" s="8"/>
      <c r="K1027" s="20"/>
    </row>
    <row r="1028" spans="8:11" x14ac:dyDescent="0.2">
      <c r="H1028" s="7"/>
    </row>
    <row r="1029" spans="8:11" x14ac:dyDescent="0.2">
      <c r="H1029" s="7"/>
    </row>
  </sheetData>
  <pageMargins left="0.78740157499999996" right="0.78740157499999996" top="0.984251969" bottom="0.984251969" header="0.4921259845" footer="0.4921259845"/>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30"/>
  <sheetViews>
    <sheetView zoomScale="70" zoomScaleNormal="70" workbookViewId="0">
      <pane xSplit="1" ySplit="2" topLeftCell="B3" activePane="bottomRight" state="frozen"/>
      <selection pane="topRight" activeCell="B1" sqref="B1"/>
      <selection pane="bottomLeft" activeCell="A3" sqref="A3"/>
      <selection pane="bottomRight" activeCell="A2" sqref="A2"/>
    </sheetView>
  </sheetViews>
  <sheetFormatPr baseColWidth="10" defaultColWidth="11.5703125" defaultRowHeight="12.75" x14ac:dyDescent="0.2"/>
  <cols>
    <col min="1" max="1" width="47.28515625" style="1" customWidth="1"/>
    <col min="2" max="2" width="27.7109375" style="2" customWidth="1"/>
    <col min="3" max="3" width="19.28515625" style="2" customWidth="1"/>
    <col min="4" max="4" width="23.42578125" style="2" customWidth="1"/>
    <col min="5" max="6" width="11.5703125" style="2" customWidth="1"/>
    <col min="7" max="7" width="18.42578125" style="2" customWidth="1"/>
    <col min="8" max="8" width="20.7109375" style="2" customWidth="1"/>
    <col min="9" max="9" width="46.85546875" style="1" customWidth="1"/>
    <col min="10" max="10" width="85.42578125" style="1" customWidth="1"/>
    <col min="11" max="11" width="2.5703125" style="17" customWidth="1"/>
    <col min="12" max="12" width="19.28515625" style="52" customWidth="1"/>
    <col min="13" max="15" width="19.28515625" style="39" customWidth="1"/>
    <col min="16" max="16" width="16.140625" style="39" customWidth="1"/>
    <col min="17" max="18" width="17.7109375" style="39" customWidth="1"/>
    <col min="19" max="20" width="20.42578125" style="39" customWidth="1"/>
    <col min="21" max="21" width="23.140625" style="39" customWidth="1"/>
    <col min="22" max="22" width="47.140625" style="61" customWidth="1"/>
    <col min="23" max="16384" width="11.5703125" style="2"/>
  </cols>
  <sheetData>
    <row r="1" spans="1:22" ht="35.25" customHeight="1" x14ac:dyDescent="0.2">
      <c r="A1" s="76" t="s">
        <v>3073</v>
      </c>
      <c r="B1" s="76"/>
      <c r="C1" s="76"/>
      <c r="D1" s="76"/>
      <c r="E1" s="76"/>
      <c r="F1" s="76"/>
      <c r="G1" s="76"/>
      <c r="H1" s="76"/>
      <c r="I1" s="76"/>
      <c r="J1" s="76"/>
      <c r="K1" s="16"/>
      <c r="L1" s="77" t="s">
        <v>1744</v>
      </c>
      <c r="M1" s="77"/>
      <c r="N1" s="77"/>
      <c r="O1" s="77"/>
      <c r="P1" s="77"/>
      <c r="Q1" s="77"/>
      <c r="R1" s="77"/>
      <c r="S1" s="77"/>
      <c r="T1" s="77"/>
      <c r="U1" s="77"/>
      <c r="V1" s="77"/>
    </row>
    <row r="2" spans="1:22" s="1" customFormat="1" ht="78" customHeight="1" x14ac:dyDescent="0.2">
      <c r="A2" s="1" t="s">
        <v>3076</v>
      </c>
      <c r="B2" s="1" t="s">
        <v>0</v>
      </c>
      <c r="C2" s="1" t="s">
        <v>1</v>
      </c>
      <c r="D2" s="1" t="s">
        <v>2</v>
      </c>
      <c r="E2" s="1" t="s">
        <v>3</v>
      </c>
      <c r="F2" s="1" t="s">
        <v>4</v>
      </c>
      <c r="G2" s="1" t="s">
        <v>5</v>
      </c>
      <c r="H2" s="1" t="s">
        <v>6</v>
      </c>
      <c r="I2" s="1" t="s">
        <v>7</v>
      </c>
      <c r="J2" s="1" t="s">
        <v>8</v>
      </c>
      <c r="K2" s="21" t="s">
        <v>1745</v>
      </c>
      <c r="L2" s="22" t="s">
        <v>1672</v>
      </c>
      <c r="M2" s="23" t="s">
        <v>1673</v>
      </c>
      <c r="N2" s="23" t="s">
        <v>1671</v>
      </c>
      <c r="O2" s="23" t="s">
        <v>1674</v>
      </c>
      <c r="P2" s="23" t="s">
        <v>1675</v>
      </c>
      <c r="Q2" s="23" t="s">
        <v>1704</v>
      </c>
      <c r="R2" s="23" t="s">
        <v>1676</v>
      </c>
      <c r="S2" s="23" t="s">
        <v>1677</v>
      </c>
      <c r="T2" s="23" t="s">
        <v>4342</v>
      </c>
      <c r="U2" s="23" t="s">
        <v>4343</v>
      </c>
      <c r="V2" s="68" t="s">
        <v>1678</v>
      </c>
    </row>
    <row r="3" spans="1:22" ht="38.25" x14ac:dyDescent="0.2">
      <c r="A3" s="1" t="s">
        <v>149</v>
      </c>
      <c r="B3" s="2" t="s">
        <v>16</v>
      </c>
      <c r="C3" s="2" t="s">
        <v>150</v>
      </c>
      <c r="D3" s="2" t="s">
        <v>129</v>
      </c>
      <c r="E3" s="2">
        <v>2020</v>
      </c>
      <c r="F3" s="2" t="s">
        <v>13</v>
      </c>
      <c r="G3" s="2" t="s">
        <v>1667</v>
      </c>
      <c r="H3" s="2" t="s">
        <v>1669</v>
      </c>
      <c r="I3" s="1" t="s">
        <v>14</v>
      </c>
      <c r="J3" s="1" t="s">
        <v>541</v>
      </c>
      <c r="L3" s="34">
        <v>0.30199999999999999</v>
      </c>
      <c r="M3" s="35">
        <v>56.2</v>
      </c>
      <c r="N3" s="35">
        <v>56.19</v>
      </c>
      <c r="O3" s="35"/>
      <c r="P3" s="35"/>
      <c r="Q3" s="35"/>
      <c r="R3" s="35"/>
      <c r="S3" s="35"/>
      <c r="T3" s="35"/>
      <c r="U3" s="35"/>
      <c r="V3" s="60" t="s">
        <v>1721</v>
      </c>
    </row>
    <row r="4" spans="1:22" ht="38.25" x14ac:dyDescent="0.2">
      <c r="A4" s="1" t="s">
        <v>149</v>
      </c>
      <c r="B4" s="2" t="s">
        <v>16</v>
      </c>
      <c r="C4" s="2" t="s">
        <v>150</v>
      </c>
      <c r="D4" s="2" t="s">
        <v>129</v>
      </c>
      <c r="E4" s="2">
        <v>2020</v>
      </c>
      <c r="F4" s="2" t="s">
        <v>188</v>
      </c>
      <c r="G4" s="2" t="s">
        <v>1667</v>
      </c>
      <c r="H4" s="2" t="s">
        <v>1669</v>
      </c>
      <c r="I4" s="1" t="s">
        <v>14</v>
      </c>
      <c r="J4" s="1" t="s">
        <v>557</v>
      </c>
      <c r="L4" s="34">
        <v>0.30099999999999999</v>
      </c>
      <c r="M4" s="35">
        <v>61.36</v>
      </c>
      <c r="N4" s="35">
        <v>61.36</v>
      </c>
      <c r="O4" s="35"/>
      <c r="P4" s="35"/>
      <c r="Q4" s="35"/>
      <c r="R4" s="35"/>
      <c r="S4" s="35"/>
      <c r="T4" s="35"/>
      <c r="U4" s="35"/>
      <c r="V4" s="60" t="s">
        <v>1721</v>
      </c>
    </row>
    <row r="5" spans="1:22" ht="51" x14ac:dyDescent="0.2">
      <c r="A5" s="1" t="s">
        <v>149</v>
      </c>
      <c r="B5" s="2" t="s">
        <v>16</v>
      </c>
      <c r="C5" s="2" t="s">
        <v>150</v>
      </c>
      <c r="D5" s="2" t="s">
        <v>129</v>
      </c>
      <c r="E5" s="2">
        <v>2020</v>
      </c>
      <c r="F5" s="2" t="s">
        <v>203</v>
      </c>
      <c r="G5" s="2" t="s">
        <v>1667</v>
      </c>
      <c r="H5" s="2" t="s">
        <v>1669</v>
      </c>
      <c r="I5" s="1" t="s">
        <v>14</v>
      </c>
      <c r="J5" s="1" t="s">
        <v>670</v>
      </c>
      <c r="L5" s="34">
        <v>0.30499999999999999</v>
      </c>
      <c r="M5" s="35">
        <v>61.95</v>
      </c>
      <c r="N5" s="35">
        <v>61.96</v>
      </c>
      <c r="O5" s="35"/>
      <c r="P5" s="35"/>
      <c r="Q5" s="35"/>
      <c r="R5" s="14"/>
      <c r="S5" s="35"/>
      <c r="T5" s="35"/>
      <c r="U5" s="35"/>
      <c r="V5" s="60" t="s">
        <v>1721</v>
      </c>
    </row>
    <row r="6" spans="1:22" ht="38.25" x14ac:dyDescent="0.2">
      <c r="A6" s="1" t="s">
        <v>149</v>
      </c>
      <c r="B6" s="2" t="s">
        <v>16</v>
      </c>
      <c r="C6" s="2" t="s">
        <v>150</v>
      </c>
      <c r="D6" s="2" t="s">
        <v>129</v>
      </c>
      <c r="E6" s="2">
        <v>2020</v>
      </c>
      <c r="F6" s="2" t="s">
        <v>211</v>
      </c>
      <c r="G6" s="2" t="s">
        <v>1667</v>
      </c>
      <c r="H6" s="2" t="s">
        <v>1669</v>
      </c>
      <c r="I6" s="1" t="s">
        <v>14</v>
      </c>
      <c r="J6" s="1" t="s">
        <v>690</v>
      </c>
      <c r="L6" s="34">
        <v>0.34100000000000003</v>
      </c>
      <c r="M6" s="35">
        <v>41.48</v>
      </c>
      <c r="N6" s="35">
        <v>41.48</v>
      </c>
      <c r="O6" s="35"/>
      <c r="P6" s="35"/>
      <c r="Q6" s="35"/>
      <c r="R6" s="14"/>
      <c r="S6" s="35"/>
      <c r="T6" s="35"/>
      <c r="U6" s="35"/>
      <c r="V6" s="60" t="s">
        <v>1721</v>
      </c>
    </row>
    <row r="7" spans="1:22" ht="38.25" x14ac:dyDescent="0.2">
      <c r="A7" s="1" t="s">
        <v>149</v>
      </c>
      <c r="B7" s="2" t="s">
        <v>16</v>
      </c>
      <c r="C7" s="2" t="s">
        <v>150</v>
      </c>
      <c r="D7" s="2" t="s">
        <v>129</v>
      </c>
      <c r="E7" s="2">
        <v>2020</v>
      </c>
      <c r="F7" s="2" t="s">
        <v>221</v>
      </c>
      <c r="G7" s="2" t="s">
        <v>1667</v>
      </c>
      <c r="H7" s="2" t="s">
        <v>1669</v>
      </c>
      <c r="I7" s="1" t="s">
        <v>14</v>
      </c>
      <c r="J7" s="1" t="s">
        <v>849</v>
      </c>
      <c r="L7" s="34">
        <v>0.28699999999999998</v>
      </c>
      <c r="M7" s="35">
        <v>70.48</v>
      </c>
      <c r="N7" s="35">
        <v>70.48</v>
      </c>
      <c r="O7" s="35"/>
      <c r="P7" s="35"/>
      <c r="Q7" s="35"/>
      <c r="R7" s="14"/>
      <c r="S7" s="14"/>
      <c r="T7" s="35"/>
      <c r="U7" s="35"/>
      <c r="V7" s="60" t="s">
        <v>1721</v>
      </c>
    </row>
    <row r="8" spans="1:22" ht="38.25" x14ac:dyDescent="0.2">
      <c r="A8" s="1" t="s">
        <v>149</v>
      </c>
      <c r="B8" s="2" t="s">
        <v>16</v>
      </c>
      <c r="C8" s="2" t="s">
        <v>150</v>
      </c>
      <c r="D8" s="2" t="s">
        <v>129</v>
      </c>
      <c r="E8" s="2">
        <v>2020</v>
      </c>
      <c r="F8" s="2" t="s">
        <v>256</v>
      </c>
      <c r="G8" s="2" t="s">
        <v>1667</v>
      </c>
      <c r="H8" s="2" t="s">
        <v>1669</v>
      </c>
      <c r="I8" s="1" t="s">
        <v>14</v>
      </c>
      <c r="J8" s="1" t="s">
        <v>883</v>
      </c>
      <c r="L8" s="34">
        <v>0.30299999999999999</v>
      </c>
      <c r="M8" s="35">
        <v>60.54</v>
      </c>
      <c r="N8" s="35">
        <v>60.54</v>
      </c>
      <c r="O8" s="35"/>
      <c r="P8" s="35"/>
      <c r="Q8" s="35"/>
      <c r="R8" s="14"/>
      <c r="S8" s="14"/>
      <c r="T8" s="35"/>
      <c r="U8" s="35"/>
      <c r="V8" s="60" t="s">
        <v>1721</v>
      </c>
    </row>
    <row r="9" spans="1:22" ht="38.25" x14ac:dyDescent="0.2">
      <c r="A9" s="1" t="s">
        <v>149</v>
      </c>
      <c r="B9" s="2" t="s">
        <v>16</v>
      </c>
      <c r="C9" s="2" t="s">
        <v>150</v>
      </c>
      <c r="D9" s="2" t="s">
        <v>129</v>
      </c>
      <c r="E9" s="2">
        <v>2020</v>
      </c>
      <c r="F9" s="2" t="s">
        <v>276</v>
      </c>
      <c r="G9" s="2" t="s">
        <v>1667</v>
      </c>
      <c r="H9" s="2" t="s">
        <v>1669</v>
      </c>
      <c r="I9" s="1" t="s">
        <v>14</v>
      </c>
      <c r="J9" s="1" t="s">
        <v>978</v>
      </c>
      <c r="L9" s="34">
        <v>0.28799999999999998</v>
      </c>
      <c r="M9" s="35">
        <v>74.22</v>
      </c>
      <c r="N9" s="35">
        <v>74.23</v>
      </c>
      <c r="O9" s="35"/>
      <c r="P9" s="35"/>
      <c r="Q9" s="35"/>
      <c r="R9" s="14"/>
      <c r="S9" s="14"/>
      <c r="T9" s="35"/>
      <c r="U9" s="35"/>
      <c r="V9" s="60" t="s">
        <v>1721</v>
      </c>
    </row>
    <row r="10" spans="1:22" ht="38.25" x14ac:dyDescent="0.2">
      <c r="A10" s="1" t="s">
        <v>149</v>
      </c>
      <c r="B10" s="2" t="s">
        <v>16</v>
      </c>
      <c r="C10" s="2" t="s">
        <v>150</v>
      </c>
      <c r="D10" s="2" t="s">
        <v>129</v>
      </c>
      <c r="E10" s="2">
        <v>2020</v>
      </c>
      <c r="F10" s="2" t="s">
        <v>291</v>
      </c>
      <c r="G10" s="2" t="s">
        <v>1667</v>
      </c>
      <c r="H10" s="2" t="s">
        <v>1669</v>
      </c>
      <c r="I10" s="1" t="s">
        <v>14</v>
      </c>
      <c r="J10" s="1" t="s">
        <v>1103</v>
      </c>
      <c r="L10" s="34">
        <v>0.27600000000000002</v>
      </c>
      <c r="M10" s="35">
        <v>63.72</v>
      </c>
      <c r="N10" s="35">
        <v>63.73</v>
      </c>
      <c r="O10" s="35"/>
      <c r="P10" s="35"/>
      <c r="Q10" s="35"/>
      <c r="R10" s="14"/>
      <c r="S10" s="14"/>
      <c r="T10" s="35"/>
      <c r="U10" s="35"/>
      <c r="V10" s="60" t="s">
        <v>1721</v>
      </c>
    </row>
    <row r="11" spans="1:22" ht="51" x14ac:dyDescent="0.2">
      <c r="A11" s="1" t="s">
        <v>149</v>
      </c>
      <c r="B11" s="2" t="s">
        <v>16</v>
      </c>
      <c r="C11" s="2" t="s">
        <v>150</v>
      </c>
      <c r="D11" s="2" t="s">
        <v>129</v>
      </c>
      <c r="E11" s="2">
        <v>2020</v>
      </c>
      <c r="F11" s="2" t="s">
        <v>311</v>
      </c>
      <c r="G11" s="2" t="s">
        <v>1667</v>
      </c>
      <c r="H11" s="2" t="s">
        <v>1669</v>
      </c>
      <c r="I11" s="1" t="s">
        <v>14</v>
      </c>
      <c r="J11" s="1" t="s">
        <v>1222</v>
      </c>
      <c r="L11" s="34">
        <v>0.27600000000000002</v>
      </c>
      <c r="M11" s="35">
        <v>69.040000000000006</v>
      </c>
      <c r="N11" s="35">
        <v>69.040000000000006</v>
      </c>
      <c r="O11" s="35"/>
      <c r="P11" s="35"/>
      <c r="Q11" s="35"/>
      <c r="R11" s="14"/>
      <c r="S11" s="14"/>
      <c r="T11" s="35"/>
      <c r="U11" s="35"/>
      <c r="V11" s="60" t="s">
        <v>1721</v>
      </c>
    </row>
    <row r="12" spans="1:22" ht="51" customHeight="1" x14ac:dyDescent="0.2">
      <c r="A12" s="1" t="s">
        <v>149</v>
      </c>
      <c r="B12" s="2" t="s">
        <v>16</v>
      </c>
      <c r="C12" s="2" t="s">
        <v>150</v>
      </c>
      <c r="D12" s="2" t="s">
        <v>129</v>
      </c>
      <c r="E12" s="2">
        <v>2020</v>
      </c>
      <c r="F12" s="2" t="s">
        <v>337</v>
      </c>
      <c r="G12" s="2" t="s">
        <v>1667</v>
      </c>
      <c r="H12" s="2" t="s">
        <v>1669</v>
      </c>
      <c r="I12" s="1" t="s">
        <v>14</v>
      </c>
      <c r="J12" s="1" t="s">
        <v>1458</v>
      </c>
      <c r="L12" s="34">
        <v>0.26200000000000001</v>
      </c>
      <c r="M12" s="35">
        <v>69.83</v>
      </c>
      <c r="N12" s="35">
        <v>69.84</v>
      </c>
      <c r="O12" s="35"/>
      <c r="P12" s="35"/>
      <c r="Q12" s="35"/>
      <c r="R12" s="14"/>
      <c r="S12" s="14"/>
      <c r="T12" s="35"/>
      <c r="U12" s="35"/>
      <c r="V12" s="60" t="s">
        <v>1721</v>
      </c>
    </row>
    <row r="13" spans="1:22" ht="38.25" x14ac:dyDescent="0.2">
      <c r="A13" s="1" t="s">
        <v>149</v>
      </c>
      <c r="B13" s="2" t="s">
        <v>16</v>
      </c>
      <c r="C13" s="2" t="s">
        <v>150</v>
      </c>
      <c r="D13" s="2" t="s">
        <v>129</v>
      </c>
      <c r="E13" s="2">
        <v>2020</v>
      </c>
      <c r="F13" s="2" t="s">
        <v>364</v>
      </c>
      <c r="G13" s="2" t="s">
        <v>1667</v>
      </c>
      <c r="H13" s="2" t="s">
        <v>1669</v>
      </c>
      <c r="I13" s="1" t="s">
        <v>14</v>
      </c>
      <c r="J13" s="1" t="s">
        <v>1515</v>
      </c>
      <c r="L13" s="34">
        <v>0.29599999999999999</v>
      </c>
      <c r="M13" s="35">
        <v>62.67</v>
      </c>
      <c r="N13" s="35">
        <v>62.68</v>
      </c>
      <c r="O13" s="35"/>
      <c r="P13" s="35"/>
      <c r="Q13" s="35"/>
      <c r="R13" s="14"/>
      <c r="S13" s="14"/>
      <c r="T13" s="35"/>
      <c r="U13" s="35"/>
      <c r="V13" s="60" t="s">
        <v>1721</v>
      </c>
    </row>
    <row r="14" spans="1:22" ht="38.25" x14ac:dyDescent="0.2">
      <c r="A14" s="1" t="s">
        <v>149</v>
      </c>
      <c r="B14" s="2" t="s">
        <v>16</v>
      </c>
      <c r="C14" s="2" t="s">
        <v>150</v>
      </c>
      <c r="D14" s="2" t="s">
        <v>129</v>
      </c>
      <c r="E14" s="2">
        <v>2020</v>
      </c>
      <c r="F14" s="2" t="s">
        <v>388</v>
      </c>
      <c r="G14" s="2" t="s">
        <v>1667</v>
      </c>
      <c r="H14" s="2" t="s">
        <v>1669</v>
      </c>
      <c r="I14" s="1" t="s">
        <v>14</v>
      </c>
      <c r="J14" s="1" t="s">
        <v>1660</v>
      </c>
      <c r="L14" s="34">
        <v>0.32</v>
      </c>
      <c r="M14" s="35">
        <v>66.12</v>
      </c>
      <c r="N14" s="35">
        <v>66.13</v>
      </c>
      <c r="O14" s="35"/>
      <c r="P14" s="35"/>
      <c r="Q14" s="35"/>
      <c r="R14" s="35"/>
      <c r="S14" s="35"/>
      <c r="T14" s="35"/>
      <c r="U14" s="35"/>
      <c r="V14" s="60" t="s">
        <v>1721</v>
      </c>
    </row>
    <row r="15" spans="1:22" ht="51" x14ac:dyDescent="0.2">
      <c r="A15" s="1" t="s">
        <v>44</v>
      </c>
      <c r="B15" s="2" t="s">
        <v>16</v>
      </c>
      <c r="C15" s="2" t="s">
        <v>45</v>
      </c>
      <c r="D15" s="2" t="s">
        <v>46</v>
      </c>
      <c r="E15" s="2">
        <v>2020</v>
      </c>
      <c r="F15" s="2" t="s">
        <v>13</v>
      </c>
      <c r="G15" s="2" t="s">
        <v>1667</v>
      </c>
      <c r="H15" s="1" t="s">
        <v>1742</v>
      </c>
      <c r="I15" s="1" t="s">
        <v>14</v>
      </c>
      <c r="J15" s="1" t="s">
        <v>491</v>
      </c>
      <c r="L15" s="34" t="s">
        <v>1741</v>
      </c>
      <c r="M15" s="35"/>
      <c r="N15" s="35">
        <f>195.83+19.63</f>
        <v>215.46</v>
      </c>
      <c r="O15" s="35"/>
      <c r="P15" s="35"/>
      <c r="Q15" s="35"/>
      <c r="R15" s="35"/>
      <c r="S15" s="35"/>
      <c r="T15" s="35"/>
      <c r="U15" s="35"/>
      <c r="V15" s="60" t="s">
        <v>1742</v>
      </c>
    </row>
    <row r="16" spans="1:22" ht="25.5" x14ac:dyDescent="0.2">
      <c r="A16" s="1" t="s">
        <v>44</v>
      </c>
      <c r="B16" s="2" t="s">
        <v>16</v>
      </c>
      <c r="C16" s="2" t="s">
        <v>45</v>
      </c>
      <c r="D16" s="2" t="s">
        <v>46</v>
      </c>
      <c r="E16" s="2">
        <v>2020</v>
      </c>
      <c r="F16" s="2" t="s">
        <v>188</v>
      </c>
      <c r="G16" s="2" t="s">
        <v>1667</v>
      </c>
      <c r="H16" s="2" t="s">
        <v>1669</v>
      </c>
      <c r="I16" s="1" t="s">
        <v>14</v>
      </c>
      <c r="J16" s="1" t="s">
        <v>551</v>
      </c>
      <c r="L16" s="34">
        <v>0.245</v>
      </c>
      <c r="M16" s="35"/>
      <c r="N16" s="35">
        <v>373</v>
      </c>
      <c r="O16" s="35"/>
      <c r="P16" s="35"/>
      <c r="Q16" s="35"/>
      <c r="R16" s="35"/>
      <c r="S16" s="35"/>
      <c r="T16" s="35"/>
      <c r="U16" s="35"/>
      <c r="V16" s="60" t="s">
        <v>1742</v>
      </c>
    </row>
    <row r="17" spans="1:22" ht="25.5" x14ac:dyDescent="0.2">
      <c r="A17" s="1" t="s">
        <v>44</v>
      </c>
      <c r="B17" s="2" t="s">
        <v>16</v>
      </c>
      <c r="C17" s="2" t="s">
        <v>45</v>
      </c>
      <c r="D17" s="2" t="s">
        <v>46</v>
      </c>
      <c r="E17" s="2">
        <v>2020</v>
      </c>
      <c r="F17" s="2" t="s">
        <v>203</v>
      </c>
      <c r="G17" s="2" t="s">
        <v>1667</v>
      </c>
      <c r="H17" s="2" t="s">
        <v>1669</v>
      </c>
      <c r="I17" s="1" t="s">
        <v>14</v>
      </c>
      <c r="J17" s="1" t="s">
        <v>649</v>
      </c>
      <c r="L17" s="34">
        <v>0.26500000000000001</v>
      </c>
      <c r="M17" s="35"/>
      <c r="N17" s="35">
        <v>250.41</v>
      </c>
      <c r="O17" s="35"/>
      <c r="P17" s="35"/>
      <c r="Q17" s="35"/>
      <c r="R17" s="14"/>
      <c r="S17" s="35"/>
      <c r="T17" s="35"/>
      <c r="U17" s="35"/>
      <c r="V17" s="60" t="s">
        <v>1742</v>
      </c>
    </row>
    <row r="18" spans="1:22" ht="25.5" x14ac:dyDescent="0.2">
      <c r="A18" s="1" t="s">
        <v>44</v>
      </c>
      <c r="B18" s="2" t="s">
        <v>16</v>
      </c>
      <c r="C18" s="2" t="s">
        <v>45</v>
      </c>
      <c r="D18" s="2" t="s">
        <v>46</v>
      </c>
      <c r="E18" s="2">
        <v>2020</v>
      </c>
      <c r="F18" s="2" t="s">
        <v>211</v>
      </c>
      <c r="G18" s="2" t="s">
        <v>1667</v>
      </c>
      <c r="H18" s="2" t="s">
        <v>1669</v>
      </c>
      <c r="I18" s="1" t="s">
        <v>14</v>
      </c>
      <c r="J18" s="1" t="s">
        <v>701</v>
      </c>
      <c r="L18" s="34">
        <v>0.255</v>
      </c>
      <c r="M18" s="35"/>
      <c r="N18" s="35">
        <v>284.81</v>
      </c>
      <c r="O18" s="35"/>
      <c r="P18" s="35"/>
      <c r="Q18" s="35"/>
      <c r="R18" s="14"/>
      <c r="S18" s="35"/>
      <c r="T18" s="35"/>
      <c r="U18" s="35"/>
      <c r="V18" s="60" t="s">
        <v>1742</v>
      </c>
    </row>
    <row r="19" spans="1:22" ht="25.5" x14ac:dyDescent="0.2">
      <c r="A19" s="1" t="s">
        <v>44</v>
      </c>
      <c r="B19" s="2" t="s">
        <v>16</v>
      </c>
      <c r="C19" s="2" t="s">
        <v>45</v>
      </c>
      <c r="D19" s="2" t="s">
        <v>46</v>
      </c>
      <c r="E19" s="2">
        <v>2020</v>
      </c>
      <c r="F19" s="2" t="s">
        <v>221</v>
      </c>
      <c r="G19" s="2" t="s">
        <v>1667</v>
      </c>
      <c r="H19" s="2" t="s">
        <v>1669</v>
      </c>
      <c r="I19" s="1" t="s">
        <v>14</v>
      </c>
      <c r="J19" s="1" t="s">
        <v>823</v>
      </c>
      <c r="L19" s="34">
        <v>0.255</v>
      </c>
      <c r="M19" s="35"/>
      <c r="N19" s="35">
        <v>326</v>
      </c>
      <c r="O19" s="35"/>
      <c r="P19" s="35"/>
      <c r="Q19" s="35"/>
      <c r="R19" s="14"/>
      <c r="S19" s="14"/>
      <c r="T19" s="35"/>
      <c r="U19" s="35"/>
      <c r="V19" s="60" t="s">
        <v>1742</v>
      </c>
    </row>
    <row r="20" spans="1:22" ht="25.5" x14ac:dyDescent="0.2">
      <c r="A20" s="1" t="s">
        <v>44</v>
      </c>
      <c r="B20" s="2" t="s">
        <v>16</v>
      </c>
      <c r="C20" s="2" t="s">
        <v>45</v>
      </c>
      <c r="D20" s="2" t="s">
        <v>46</v>
      </c>
      <c r="E20" s="2">
        <v>2020</v>
      </c>
      <c r="F20" s="2" t="s">
        <v>256</v>
      </c>
      <c r="G20" s="2" t="s">
        <v>1667</v>
      </c>
      <c r="H20" s="2" t="s">
        <v>1669</v>
      </c>
      <c r="I20" s="1" t="s">
        <v>14</v>
      </c>
      <c r="J20" s="1" t="s">
        <v>922</v>
      </c>
      <c r="L20" s="34">
        <v>0.23499999999999999</v>
      </c>
      <c r="M20" s="35"/>
      <c r="N20" s="35">
        <v>291</v>
      </c>
      <c r="O20" s="35"/>
      <c r="P20" s="35"/>
      <c r="Q20" s="35"/>
      <c r="R20" s="14"/>
      <c r="S20" s="14"/>
      <c r="T20" s="35"/>
      <c r="U20" s="35"/>
      <c r="V20" s="60" t="s">
        <v>1742</v>
      </c>
    </row>
    <row r="21" spans="1:22" ht="38.25" x14ac:dyDescent="0.2">
      <c r="A21" s="1" t="s">
        <v>44</v>
      </c>
      <c r="B21" s="2" t="s">
        <v>16</v>
      </c>
      <c r="C21" s="2" t="s">
        <v>45</v>
      </c>
      <c r="D21" s="2" t="s">
        <v>46</v>
      </c>
      <c r="E21" s="2">
        <v>2020</v>
      </c>
      <c r="F21" s="2" t="s">
        <v>276</v>
      </c>
      <c r="G21" s="2" t="s">
        <v>1667</v>
      </c>
      <c r="H21" s="2" t="s">
        <v>1669</v>
      </c>
      <c r="I21" s="1" t="s">
        <v>14</v>
      </c>
      <c r="J21" s="1" t="s">
        <v>961</v>
      </c>
      <c r="L21" s="34">
        <v>0.23499999999999999</v>
      </c>
      <c r="M21" s="35"/>
      <c r="N21" s="35">
        <v>296</v>
      </c>
      <c r="O21" s="35"/>
      <c r="P21" s="35"/>
      <c r="Q21" s="35"/>
      <c r="R21" s="14"/>
      <c r="S21" s="14"/>
      <c r="T21" s="35"/>
      <c r="U21" s="35"/>
      <c r="V21" s="60" t="s">
        <v>1742</v>
      </c>
    </row>
    <row r="22" spans="1:22" ht="38.25" x14ac:dyDescent="0.2">
      <c r="A22" s="1" t="s">
        <v>44</v>
      </c>
      <c r="B22" s="2" t="s">
        <v>16</v>
      </c>
      <c r="C22" s="2" t="s">
        <v>45</v>
      </c>
      <c r="D22" s="2" t="s">
        <v>46</v>
      </c>
      <c r="E22" s="2">
        <v>2020</v>
      </c>
      <c r="F22" s="2" t="s">
        <v>291</v>
      </c>
      <c r="G22" s="2" t="s">
        <v>1667</v>
      </c>
      <c r="H22" s="2" t="s">
        <v>1669</v>
      </c>
      <c r="I22" s="1" t="s">
        <v>14</v>
      </c>
      <c r="J22" s="1" t="s">
        <v>1074</v>
      </c>
      <c r="L22" s="34">
        <v>0.23400000000000001</v>
      </c>
      <c r="M22" s="35"/>
      <c r="N22" s="35">
        <v>282</v>
      </c>
      <c r="O22" s="35"/>
      <c r="P22" s="35"/>
      <c r="Q22" s="35"/>
      <c r="R22" s="14"/>
      <c r="S22" s="14"/>
      <c r="T22" s="35"/>
      <c r="U22" s="35"/>
      <c r="V22" s="60" t="s">
        <v>1742</v>
      </c>
    </row>
    <row r="23" spans="1:22" ht="38.25" x14ac:dyDescent="0.2">
      <c r="A23" s="1" t="s">
        <v>44</v>
      </c>
      <c r="B23" s="2" t="s">
        <v>16</v>
      </c>
      <c r="C23" s="2" t="s">
        <v>45</v>
      </c>
      <c r="D23" s="2" t="s">
        <v>46</v>
      </c>
      <c r="E23" s="2">
        <v>2020</v>
      </c>
      <c r="F23" s="2" t="s">
        <v>311</v>
      </c>
      <c r="G23" s="2" t="s">
        <v>1667</v>
      </c>
      <c r="H23" s="2" t="s">
        <v>1669</v>
      </c>
      <c r="I23" s="1" t="s">
        <v>14</v>
      </c>
      <c r="J23" s="1" t="s">
        <v>1203</v>
      </c>
      <c r="L23" s="34">
        <v>0.23499999999999999</v>
      </c>
      <c r="M23" s="35"/>
      <c r="N23" s="35">
        <v>342</v>
      </c>
      <c r="O23" s="35"/>
      <c r="P23" s="35"/>
      <c r="Q23" s="35"/>
      <c r="R23" s="14"/>
      <c r="S23" s="14"/>
      <c r="T23" s="35"/>
      <c r="U23" s="35"/>
      <c r="V23" s="60" t="s">
        <v>1742</v>
      </c>
    </row>
    <row r="24" spans="1:22" ht="38.25" x14ac:dyDescent="0.2">
      <c r="A24" s="1" t="s">
        <v>44</v>
      </c>
      <c r="B24" s="2" t="s">
        <v>16</v>
      </c>
      <c r="C24" s="2" t="s">
        <v>45</v>
      </c>
      <c r="D24" s="2" t="s">
        <v>46</v>
      </c>
      <c r="E24" s="2">
        <v>2020</v>
      </c>
      <c r="F24" s="2" t="s">
        <v>337</v>
      </c>
      <c r="G24" s="2" t="s">
        <v>1667</v>
      </c>
      <c r="H24" s="2" t="s">
        <v>1669</v>
      </c>
      <c r="I24" s="1" t="s">
        <v>14</v>
      </c>
      <c r="J24" s="1" t="s">
        <v>1350</v>
      </c>
      <c r="L24" s="34">
        <v>0.23300000000000001</v>
      </c>
      <c r="M24" s="35"/>
      <c r="N24" s="35">
        <v>481</v>
      </c>
      <c r="O24" s="35"/>
      <c r="P24" s="35"/>
      <c r="Q24" s="35"/>
      <c r="R24" s="14"/>
      <c r="S24" s="14"/>
      <c r="T24" s="35"/>
      <c r="U24" s="35"/>
      <c r="V24" s="60" t="s">
        <v>1742</v>
      </c>
    </row>
    <row r="25" spans="1:22" ht="25.5" x14ac:dyDescent="0.2">
      <c r="A25" s="1" t="s">
        <v>44</v>
      </c>
      <c r="B25" s="2" t="s">
        <v>16</v>
      </c>
      <c r="C25" s="2" t="s">
        <v>45</v>
      </c>
      <c r="D25" s="2" t="s">
        <v>46</v>
      </c>
      <c r="E25" s="2">
        <v>2020</v>
      </c>
      <c r="F25" s="2" t="s">
        <v>364</v>
      </c>
      <c r="G25" s="2" t="s">
        <v>1667</v>
      </c>
      <c r="H25" s="2" t="s">
        <v>1669</v>
      </c>
      <c r="I25" s="1" t="s">
        <v>14</v>
      </c>
      <c r="J25" s="1" t="s">
        <v>1480</v>
      </c>
      <c r="L25" s="34">
        <v>0.23300000000000001</v>
      </c>
      <c r="M25" s="35"/>
      <c r="N25" s="35">
        <v>370.9</v>
      </c>
      <c r="O25" s="35"/>
      <c r="P25" s="35"/>
      <c r="Q25" s="35"/>
      <c r="R25" s="14"/>
      <c r="S25" s="14"/>
      <c r="T25" s="35"/>
      <c r="U25" s="35"/>
      <c r="V25" s="60" t="s">
        <v>1742</v>
      </c>
    </row>
    <row r="26" spans="1:22" ht="25.5" x14ac:dyDescent="0.2">
      <c r="A26" s="1" t="s">
        <v>44</v>
      </c>
      <c r="B26" s="2" t="s">
        <v>16</v>
      </c>
      <c r="C26" s="2" t="s">
        <v>45</v>
      </c>
      <c r="D26" s="2" t="s">
        <v>46</v>
      </c>
      <c r="E26" s="2">
        <v>2020</v>
      </c>
      <c r="F26" s="2" t="s">
        <v>388</v>
      </c>
      <c r="G26" s="2" t="s">
        <v>1667</v>
      </c>
      <c r="H26" s="2" t="s">
        <v>1669</v>
      </c>
      <c r="I26" s="1" t="s">
        <v>14</v>
      </c>
      <c r="J26" s="1" t="s">
        <v>1629</v>
      </c>
      <c r="L26" s="34">
        <v>0.23300000000000001</v>
      </c>
      <c r="M26" s="35"/>
      <c r="N26" s="35">
        <v>388.9</v>
      </c>
      <c r="O26" s="35"/>
      <c r="P26" s="35"/>
      <c r="Q26" s="35"/>
      <c r="R26" s="35"/>
      <c r="S26" s="35"/>
      <c r="T26" s="35"/>
      <c r="U26" s="35"/>
      <c r="V26" s="60" t="s">
        <v>1742</v>
      </c>
    </row>
    <row r="27" spans="1:22" ht="43.5" customHeight="1" x14ac:dyDescent="0.2">
      <c r="A27" s="1" t="s">
        <v>101</v>
      </c>
      <c r="B27" s="2" t="s">
        <v>38</v>
      </c>
      <c r="C27" s="2" t="s">
        <v>102</v>
      </c>
      <c r="D27" s="2" t="s">
        <v>100</v>
      </c>
      <c r="E27" s="2">
        <v>2020</v>
      </c>
      <c r="F27" s="2" t="s">
        <v>13</v>
      </c>
      <c r="G27" s="2" t="s">
        <v>1667</v>
      </c>
      <c r="H27" s="2" t="s">
        <v>1669</v>
      </c>
      <c r="I27" s="1" t="s">
        <v>14</v>
      </c>
      <c r="J27" s="1" t="s">
        <v>536</v>
      </c>
      <c r="L27" s="34">
        <v>0.17100000000000001</v>
      </c>
      <c r="M27" s="35"/>
      <c r="N27" s="35">
        <v>2459.9299999999998</v>
      </c>
      <c r="O27" s="35"/>
      <c r="P27" s="35"/>
      <c r="Q27" s="35"/>
      <c r="R27" s="35"/>
      <c r="S27" s="35"/>
      <c r="T27" s="35"/>
      <c r="U27" s="35"/>
      <c r="V27" s="61" t="s">
        <v>1742</v>
      </c>
    </row>
    <row r="28" spans="1:22" ht="66.75" customHeight="1" x14ac:dyDescent="0.2">
      <c r="A28" s="1" t="s">
        <v>101</v>
      </c>
      <c r="B28" s="2" t="s">
        <v>38</v>
      </c>
      <c r="C28" s="2" t="s">
        <v>102</v>
      </c>
      <c r="D28" s="2" t="s">
        <v>100</v>
      </c>
      <c r="E28" s="2">
        <v>2020</v>
      </c>
      <c r="F28" s="2" t="s">
        <v>188</v>
      </c>
      <c r="G28" s="2" t="s">
        <v>1667</v>
      </c>
      <c r="H28" s="2" t="s">
        <v>1669</v>
      </c>
      <c r="I28" s="1" t="s">
        <v>14</v>
      </c>
      <c r="J28" s="1" t="s">
        <v>597</v>
      </c>
      <c r="L28" s="34">
        <v>0.17</v>
      </c>
      <c r="M28" s="35"/>
      <c r="N28" s="35">
        <v>2270.23</v>
      </c>
      <c r="O28" s="35"/>
      <c r="P28" s="35"/>
      <c r="Q28" s="35"/>
      <c r="R28" s="14"/>
      <c r="S28" s="35"/>
      <c r="T28" s="35"/>
      <c r="U28" s="35"/>
      <c r="V28" s="61" t="s">
        <v>1742</v>
      </c>
    </row>
    <row r="29" spans="1:22" ht="51" x14ac:dyDescent="0.2">
      <c r="A29" s="1" t="s">
        <v>101</v>
      </c>
      <c r="B29" s="2" t="s">
        <v>38</v>
      </c>
      <c r="C29" s="2" t="s">
        <v>102</v>
      </c>
      <c r="D29" s="2" t="s">
        <v>100</v>
      </c>
      <c r="E29" s="2">
        <v>2020</v>
      </c>
      <c r="F29" s="2" t="s">
        <v>203</v>
      </c>
      <c r="G29" s="2" t="s">
        <v>1667</v>
      </c>
      <c r="H29" s="2" t="s">
        <v>1669</v>
      </c>
      <c r="I29" s="1" t="s">
        <v>14</v>
      </c>
      <c r="J29" s="1" t="s">
        <v>628</v>
      </c>
      <c r="L29" s="34">
        <v>0.17399999999999999</v>
      </c>
      <c r="M29" s="35"/>
      <c r="N29" s="35">
        <v>887</v>
      </c>
      <c r="O29" s="35">
        <v>417</v>
      </c>
      <c r="P29" s="35"/>
      <c r="Q29" s="35"/>
      <c r="R29" s="14"/>
      <c r="S29" s="35"/>
      <c r="T29" s="35"/>
      <c r="U29" s="35"/>
      <c r="V29" s="61" t="s">
        <v>1742</v>
      </c>
    </row>
    <row r="30" spans="1:22" ht="76.5" x14ac:dyDescent="0.2">
      <c r="A30" s="1" t="s">
        <v>101</v>
      </c>
      <c r="B30" s="2" t="s">
        <v>38</v>
      </c>
      <c r="C30" s="2" t="s">
        <v>102</v>
      </c>
      <c r="D30" s="2" t="s">
        <v>100</v>
      </c>
      <c r="E30" s="2">
        <v>2020</v>
      </c>
      <c r="F30" s="2" t="s">
        <v>211</v>
      </c>
      <c r="G30" s="2" t="s">
        <v>1667</v>
      </c>
      <c r="H30" s="2" t="s">
        <v>1669</v>
      </c>
      <c r="I30" s="1" t="s">
        <v>14</v>
      </c>
      <c r="J30" s="1" t="s">
        <v>753</v>
      </c>
      <c r="L30" s="34">
        <v>0.17299999999999999</v>
      </c>
      <c r="M30" s="35"/>
      <c r="N30" s="35">
        <v>840</v>
      </c>
      <c r="O30" s="35">
        <v>727</v>
      </c>
      <c r="P30" s="35"/>
      <c r="Q30" s="35"/>
      <c r="R30" s="14"/>
      <c r="S30" s="35"/>
      <c r="T30" s="35"/>
      <c r="U30" s="35"/>
      <c r="V30" s="61" t="s">
        <v>1742</v>
      </c>
    </row>
    <row r="31" spans="1:22" ht="51" x14ac:dyDescent="0.2">
      <c r="A31" s="1" t="s">
        <v>101</v>
      </c>
      <c r="B31" s="2" t="s">
        <v>38</v>
      </c>
      <c r="C31" s="2" t="s">
        <v>102</v>
      </c>
      <c r="D31" s="2" t="s">
        <v>100</v>
      </c>
      <c r="E31" s="2">
        <v>2020</v>
      </c>
      <c r="F31" s="2" t="s">
        <v>221</v>
      </c>
      <c r="G31" s="2" t="s">
        <v>1667</v>
      </c>
      <c r="H31" s="2" t="s">
        <v>1669</v>
      </c>
      <c r="I31" s="1" t="s">
        <v>14</v>
      </c>
      <c r="J31" s="1" t="s">
        <v>809</v>
      </c>
      <c r="L31" s="34">
        <v>0.17299999999999999</v>
      </c>
      <c r="M31" s="35"/>
      <c r="N31" s="35">
        <v>2175.27</v>
      </c>
      <c r="O31" s="35"/>
      <c r="P31" s="35"/>
      <c r="Q31" s="35"/>
      <c r="R31" s="14"/>
      <c r="S31" s="14"/>
      <c r="T31" s="35"/>
      <c r="U31" s="35"/>
      <c r="V31" s="61" t="s">
        <v>1742</v>
      </c>
    </row>
    <row r="32" spans="1:22" ht="51" x14ac:dyDescent="0.2">
      <c r="A32" s="1" t="s">
        <v>101</v>
      </c>
      <c r="B32" s="2" t="s">
        <v>38</v>
      </c>
      <c r="C32" s="2" t="s">
        <v>102</v>
      </c>
      <c r="D32" s="2" t="s">
        <v>100</v>
      </c>
      <c r="E32" s="2">
        <v>2020</v>
      </c>
      <c r="F32" s="2" t="s">
        <v>256</v>
      </c>
      <c r="G32" s="2" t="s">
        <v>1667</v>
      </c>
      <c r="H32" s="2" t="s">
        <v>1669</v>
      </c>
      <c r="I32" s="1" t="s">
        <v>14</v>
      </c>
      <c r="J32" s="1" t="s">
        <v>933</v>
      </c>
      <c r="L32" s="34">
        <v>0.183</v>
      </c>
      <c r="M32" s="35"/>
      <c r="N32" s="35">
        <v>2185.08</v>
      </c>
      <c r="O32" s="35"/>
      <c r="P32" s="35"/>
      <c r="Q32" s="35"/>
      <c r="R32" s="14"/>
      <c r="S32" s="14"/>
      <c r="T32" s="35"/>
      <c r="U32" s="35"/>
      <c r="V32" s="61" t="s">
        <v>1742</v>
      </c>
    </row>
    <row r="33" spans="1:22" ht="38.25" x14ac:dyDescent="0.2">
      <c r="A33" s="1" t="s">
        <v>101</v>
      </c>
      <c r="B33" s="2" t="s">
        <v>38</v>
      </c>
      <c r="C33" s="2" t="s">
        <v>102</v>
      </c>
      <c r="D33" s="2" t="s">
        <v>100</v>
      </c>
      <c r="E33" s="2">
        <v>2020</v>
      </c>
      <c r="F33" s="2" t="s">
        <v>276</v>
      </c>
      <c r="G33" s="2" t="s">
        <v>1667</v>
      </c>
      <c r="H33" s="2" t="s">
        <v>1669</v>
      </c>
      <c r="I33" s="1" t="s">
        <v>14</v>
      </c>
      <c r="J33" s="1" t="s">
        <v>1055</v>
      </c>
      <c r="L33" s="34">
        <v>0.192</v>
      </c>
      <c r="M33" s="35"/>
      <c r="N33" s="35">
        <v>1885.84</v>
      </c>
      <c r="O33" s="35"/>
      <c r="P33" s="35"/>
      <c r="Q33" s="35"/>
      <c r="R33" s="14"/>
      <c r="S33" s="14"/>
      <c r="T33" s="35"/>
      <c r="U33" s="35"/>
      <c r="V33" s="61" t="s">
        <v>1742</v>
      </c>
    </row>
    <row r="34" spans="1:22" ht="51" x14ac:dyDescent="0.2">
      <c r="A34" s="1" t="s">
        <v>101</v>
      </c>
      <c r="B34" s="2" t="s">
        <v>38</v>
      </c>
      <c r="C34" s="2" t="s">
        <v>102</v>
      </c>
      <c r="D34" s="2" t="s">
        <v>100</v>
      </c>
      <c r="E34" s="2">
        <v>2020</v>
      </c>
      <c r="F34" s="2" t="s">
        <v>291</v>
      </c>
      <c r="G34" s="2" t="s">
        <v>1667</v>
      </c>
      <c r="H34" s="2" t="s">
        <v>1669</v>
      </c>
      <c r="I34" s="1" t="s">
        <v>14</v>
      </c>
      <c r="J34" s="1" t="s">
        <v>1178</v>
      </c>
      <c r="L34" s="34">
        <v>0.184</v>
      </c>
      <c r="M34" s="35"/>
      <c r="N34" s="35">
        <v>1909.02</v>
      </c>
      <c r="O34" s="35"/>
      <c r="P34" s="35"/>
      <c r="Q34" s="35"/>
      <c r="R34" s="14"/>
      <c r="S34" s="14"/>
      <c r="T34" s="35"/>
      <c r="U34" s="35"/>
      <c r="V34" s="61" t="s">
        <v>1742</v>
      </c>
    </row>
    <row r="35" spans="1:22" ht="38.25" x14ac:dyDescent="0.2">
      <c r="A35" s="1" t="s">
        <v>101</v>
      </c>
      <c r="B35" s="2" t="s">
        <v>38</v>
      </c>
      <c r="C35" s="2" t="s">
        <v>102</v>
      </c>
      <c r="D35" s="2" t="s">
        <v>100</v>
      </c>
      <c r="E35" s="2">
        <v>2020</v>
      </c>
      <c r="F35" s="2" t="s">
        <v>311</v>
      </c>
      <c r="G35" s="2" t="s">
        <v>1667</v>
      </c>
      <c r="H35" s="2" t="s">
        <v>1669</v>
      </c>
      <c r="I35" s="1" t="s">
        <v>14</v>
      </c>
      <c r="J35" s="1" t="s">
        <v>1269</v>
      </c>
      <c r="L35" s="34">
        <v>0.18</v>
      </c>
      <c r="M35" s="35"/>
      <c r="N35" s="35">
        <v>1964.78</v>
      </c>
      <c r="O35" s="35"/>
      <c r="P35" s="35"/>
      <c r="Q35" s="35"/>
      <c r="R35" s="14"/>
      <c r="S35" s="14"/>
      <c r="T35" s="35"/>
      <c r="U35" s="35"/>
      <c r="V35" s="61" t="s">
        <v>1742</v>
      </c>
    </row>
    <row r="36" spans="1:22" ht="38.25" x14ac:dyDescent="0.2">
      <c r="A36" s="1" t="s">
        <v>101</v>
      </c>
      <c r="B36" s="2" t="s">
        <v>38</v>
      </c>
      <c r="C36" s="2" t="s">
        <v>102</v>
      </c>
      <c r="D36" s="2" t="s">
        <v>100</v>
      </c>
      <c r="E36" s="2">
        <v>2020</v>
      </c>
      <c r="F36" s="2" t="s">
        <v>337</v>
      </c>
      <c r="G36" s="2" t="s">
        <v>1667</v>
      </c>
      <c r="H36" s="2" t="s">
        <v>1669</v>
      </c>
      <c r="I36" s="1" t="s">
        <v>14</v>
      </c>
      <c r="J36" s="1" t="s">
        <v>1434</v>
      </c>
      <c r="L36" s="34">
        <v>0.185</v>
      </c>
      <c r="M36" s="35"/>
      <c r="N36" s="35">
        <v>1552.42</v>
      </c>
      <c r="O36" s="35"/>
      <c r="P36" s="35"/>
      <c r="Q36" s="35"/>
      <c r="R36" s="14"/>
      <c r="S36" s="14"/>
      <c r="T36" s="35"/>
      <c r="U36" s="35"/>
      <c r="V36" s="61" t="s">
        <v>1742</v>
      </c>
    </row>
    <row r="37" spans="1:22" ht="51" x14ac:dyDescent="0.2">
      <c r="A37" s="1" t="s">
        <v>101</v>
      </c>
      <c r="B37" s="2" t="s">
        <v>38</v>
      </c>
      <c r="C37" s="2" t="s">
        <v>102</v>
      </c>
      <c r="D37" s="2" t="s">
        <v>100</v>
      </c>
      <c r="E37" s="2">
        <v>2020</v>
      </c>
      <c r="F37" s="2" t="s">
        <v>364</v>
      </c>
      <c r="G37" s="2" t="s">
        <v>1667</v>
      </c>
      <c r="H37" s="2" t="s">
        <v>1669</v>
      </c>
      <c r="I37" s="1" t="s">
        <v>14</v>
      </c>
      <c r="J37" s="1" t="s">
        <v>1522</v>
      </c>
      <c r="L37" s="34">
        <v>0.17899999999999999</v>
      </c>
      <c r="M37" s="35"/>
      <c r="N37" s="35">
        <v>1580.54</v>
      </c>
      <c r="O37" s="35"/>
      <c r="P37" s="35"/>
      <c r="Q37" s="35"/>
      <c r="R37" s="14"/>
      <c r="S37" s="14"/>
      <c r="T37" s="35"/>
      <c r="U37" s="35"/>
      <c r="V37" s="61" t="s">
        <v>1742</v>
      </c>
    </row>
    <row r="38" spans="1:22" ht="63.75" x14ac:dyDescent="0.2">
      <c r="A38" s="1" t="s">
        <v>101</v>
      </c>
      <c r="B38" s="2" t="s">
        <v>38</v>
      </c>
      <c r="C38" s="2" t="s">
        <v>102</v>
      </c>
      <c r="D38" s="2" t="s">
        <v>100</v>
      </c>
      <c r="E38" s="2">
        <v>2020</v>
      </c>
      <c r="F38" s="2" t="s">
        <v>388</v>
      </c>
      <c r="G38" s="2" t="s">
        <v>1667</v>
      </c>
      <c r="H38" s="2" t="s">
        <v>1669</v>
      </c>
      <c r="I38" s="1" t="s">
        <v>14</v>
      </c>
      <c r="J38" s="1" t="s">
        <v>1636</v>
      </c>
      <c r="L38" s="34">
        <v>0.17199999999999999</v>
      </c>
      <c r="M38" s="35"/>
      <c r="N38" s="35">
        <v>1975.58</v>
      </c>
      <c r="O38" s="35">
        <v>223.56</v>
      </c>
      <c r="P38" s="35"/>
      <c r="Q38" s="35"/>
      <c r="R38" s="35"/>
      <c r="S38" s="35"/>
      <c r="T38" s="35"/>
      <c r="U38" s="35"/>
      <c r="V38" s="61" t="s">
        <v>1742</v>
      </c>
    </row>
    <row r="39" spans="1:22" ht="73.5" customHeight="1" x14ac:dyDescent="0.2">
      <c r="A39" s="1" t="s">
        <v>990</v>
      </c>
      <c r="B39" s="2" t="s">
        <v>196</v>
      </c>
      <c r="C39" s="2" t="s">
        <v>74</v>
      </c>
      <c r="D39" s="2" t="s">
        <v>74</v>
      </c>
      <c r="E39" s="2">
        <v>2020</v>
      </c>
      <c r="F39" s="2" t="s">
        <v>276</v>
      </c>
      <c r="G39" s="2" t="s">
        <v>1669</v>
      </c>
      <c r="H39" s="2" t="s">
        <v>1669</v>
      </c>
      <c r="I39" s="1" t="s">
        <v>991</v>
      </c>
      <c r="J39" s="1" t="s">
        <v>1726</v>
      </c>
      <c r="L39" s="34">
        <v>0.3</v>
      </c>
      <c r="M39" s="35"/>
      <c r="N39" s="35">
        <f>315/0.3</f>
        <v>1050</v>
      </c>
      <c r="O39" s="35"/>
      <c r="P39" s="35"/>
      <c r="Q39" s="35"/>
      <c r="R39" s="14"/>
      <c r="S39" s="14"/>
      <c r="T39" s="35"/>
      <c r="U39" s="35"/>
    </row>
    <row r="40" spans="1:22" ht="344.25" x14ac:dyDescent="0.2">
      <c r="A40" s="1" t="s">
        <v>990</v>
      </c>
      <c r="B40" s="2" t="s">
        <v>196</v>
      </c>
      <c r="C40" s="2" t="s">
        <v>74</v>
      </c>
      <c r="D40" s="2" t="s">
        <v>74</v>
      </c>
      <c r="E40" s="2">
        <v>2020</v>
      </c>
      <c r="F40" s="2" t="s">
        <v>291</v>
      </c>
      <c r="G40" s="2" t="s">
        <v>1669</v>
      </c>
      <c r="H40" s="2" t="s">
        <v>1669</v>
      </c>
      <c r="I40" s="1" t="s">
        <v>1151</v>
      </c>
      <c r="J40" s="1" t="s">
        <v>1152</v>
      </c>
      <c r="L40" s="34">
        <v>0.255</v>
      </c>
      <c r="M40" s="35"/>
      <c r="N40" s="36">
        <f>430/0.26+412/0.25</f>
        <v>3301.8461538461538</v>
      </c>
      <c r="O40" s="35"/>
      <c r="P40" s="35"/>
      <c r="Q40" s="35"/>
      <c r="R40" s="14"/>
      <c r="S40" s="14"/>
      <c r="T40" s="35"/>
      <c r="U40" s="35"/>
    </row>
    <row r="41" spans="1:22" ht="191.25" x14ac:dyDescent="0.2">
      <c r="A41" s="1" t="s">
        <v>990</v>
      </c>
      <c r="B41" s="2" t="s">
        <v>196</v>
      </c>
      <c r="C41" s="2" t="s">
        <v>74</v>
      </c>
      <c r="D41" s="2" t="s">
        <v>74</v>
      </c>
      <c r="E41" s="2">
        <v>2020</v>
      </c>
      <c r="F41" s="2" t="s">
        <v>311</v>
      </c>
      <c r="G41" s="2" t="s">
        <v>1669</v>
      </c>
      <c r="H41" s="2" t="s">
        <v>1669</v>
      </c>
      <c r="I41" s="1" t="s">
        <v>1241</v>
      </c>
      <c r="J41" s="1" t="s">
        <v>1242</v>
      </c>
      <c r="L41" s="34">
        <v>0.24</v>
      </c>
      <c r="M41" s="35"/>
      <c r="N41" s="36">
        <f>455/0.24</f>
        <v>1895.8333333333335</v>
      </c>
      <c r="O41" s="35"/>
      <c r="P41" s="35"/>
      <c r="Q41" s="35"/>
      <c r="R41" s="14"/>
      <c r="S41" s="14"/>
      <c r="T41" s="35"/>
      <c r="U41" s="35"/>
    </row>
    <row r="42" spans="1:22" ht="25.5" x14ac:dyDescent="0.2">
      <c r="A42" s="1" t="s">
        <v>476</v>
      </c>
      <c r="B42" s="2" t="s">
        <v>383</v>
      </c>
      <c r="C42" s="2" t="s">
        <v>477</v>
      </c>
      <c r="D42" s="2" t="s">
        <v>275</v>
      </c>
      <c r="E42" s="2">
        <v>2020</v>
      </c>
      <c r="F42" s="2" t="s">
        <v>256</v>
      </c>
      <c r="G42" s="2" t="s">
        <v>1669</v>
      </c>
      <c r="H42" s="2" t="s">
        <v>1668</v>
      </c>
      <c r="I42" s="1" t="s">
        <v>941</v>
      </c>
      <c r="J42" s="1" t="s">
        <v>14</v>
      </c>
      <c r="L42" s="34"/>
      <c r="M42" s="35"/>
      <c r="N42" s="35"/>
      <c r="O42" s="35"/>
      <c r="P42" s="35"/>
      <c r="Q42" s="35"/>
      <c r="R42" s="14"/>
      <c r="S42" s="14"/>
      <c r="T42" s="35"/>
      <c r="U42" s="35"/>
    </row>
    <row r="43" spans="1:22" ht="242.25" x14ac:dyDescent="0.2">
      <c r="A43" s="1" t="s">
        <v>476</v>
      </c>
      <c r="B43" s="2" t="s">
        <v>383</v>
      </c>
      <c r="C43" s="2" t="s">
        <v>477</v>
      </c>
      <c r="D43" s="2" t="s">
        <v>275</v>
      </c>
      <c r="E43" s="2">
        <v>2020</v>
      </c>
      <c r="F43" s="2" t="s">
        <v>276</v>
      </c>
      <c r="G43" s="2" t="s">
        <v>1669</v>
      </c>
      <c r="H43" s="2" t="s">
        <v>1669</v>
      </c>
      <c r="I43" s="1" t="s">
        <v>1021</v>
      </c>
      <c r="J43" s="1" t="s">
        <v>1022</v>
      </c>
      <c r="L43" s="5" t="s">
        <v>1670</v>
      </c>
      <c r="M43" s="35"/>
      <c r="N43" s="35">
        <f>(128+112+40+142+132+144+203+75+180)/0.2</f>
        <v>5780</v>
      </c>
      <c r="O43" s="35"/>
      <c r="P43" s="35"/>
      <c r="Q43" s="35"/>
      <c r="R43" s="6"/>
      <c r="S43" s="6"/>
      <c r="T43" s="35"/>
      <c r="U43" s="35"/>
      <c r="V43" s="60" t="s">
        <v>1747</v>
      </c>
    </row>
    <row r="44" spans="1:22" ht="25.5" x14ac:dyDescent="0.2">
      <c r="A44" s="1" t="s">
        <v>368</v>
      </c>
      <c r="B44" s="2" t="s">
        <v>196</v>
      </c>
      <c r="C44" s="2" t="s">
        <v>369</v>
      </c>
      <c r="D44" s="2" t="s">
        <v>115</v>
      </c>
      <c r="E44" s="2">
        <v>2020</v>
      </c>
      <c r="F44" s="2" t="s">
        <v>276</v>
      </c>
      <c r="G44" s="2" t="s">
        <v>1668</v>
      </c>
      <c r="H44" s="2" t="s">
        <v>1669</v>
      </c>
      <c r="I44" s="1" t="s">
        <v>14</v>
      </c>
      <c r="J44" s="1" t="s">
        <v>957</v>
      </c>
      <c r="L44" s="34">
        <v>0.3</v>
      </c>
      <c r="M44" s="35"/>
      <c r="N44" s="35">
        <v>340</v>
      </c>
      <c r="O44" s="35"/>
      <c r="P44" s="35"/>
      <c r="Q44" s="35"/>
      <c r="R44" s="14"/>
      <c r="S44" s="14"/>
      <c r="T44" s="35"/>
      <c r="U44" s="35"/>
    </row>
    <row r="45" spans="1:22" ht="38.25" x14ac:dyDescent="0.2">
      <c r="A45" s="1" t="s">
        <v>368</v>
      </c>
      <c r="B45" s="2" t="s">
        <v>196</v>
      </c>
      <c r="C45" s="2" t="s">
        <v>369</v>
      </c>
      <c r="D45" s="2" t="s">
        <v>115</v>
      </c>
      <c r="E45" s="2">
        <v>2020</v>
      </c>
      <c r="F45" s="2" t="s">
        <v>291</v>
      </c>
      <c r="G45" s="2" t="s">
        <v>1668</v>
      </c>
      <c r="H45" s="2" t="s">
        <v>1669</v>
      </c>
      <c r="I45" s="1" t="s">
        <v>14</v>
      </c>
      <c r="J45" s="1" t="s">
        <v>1068</v>
      </c>
      <c r="L45" s="34">
        <v>0.3</v>
      </c>
      <c r="M45" s="35"/>
      <c r="N45" s="35">
        <v>340</v>
      </c>
      <c r="O45" s="35"/>
      <c r="P45" s="35"/>
      <c r="Q45" s="35"/>
      <c r="R45" s="14"/>
      <c r="S45" s="14"/>
      <c r="T45" s="35"/>
      <c r="U45" s="35"/>
    </row>
    <row r="46" spans="1:22" ht="38.25" x14ac:dyDescent="0.2">
      <c r="A46" s="1" t="s">
        <v>368</v>
      </c>
      <c r="B46" s="2" t="s">
        <v>196</v>
      </c>
      <c r="C46" s="2" t="s">
        <v>369</v>
      </c>
      <c r="D46" s="2" t="s">
        <v>115</v>
      </c>
      <c r="E46" s="2">
        <v>2020</v>
      </c>
      <c r="F46" s="2" t="s">
        <v>311</v>
      </c>
      <c r="G46" s="2" t="s">
        <v>1668</v>
      </c>
      <c r="H46" s="2" t="s">
        <v>1669</v>
      </c>
      <c r="I46" s="1" t="s">
        <v>14</v>
      </c>
      <c r="J46" s="1" t="s">
        <v>1200</v>
      </c>
      <c r="L46" s="34">
        <v>0.3</v>
      </c>
      <c r="M46" s="35"/>
      <c r="N46" s="35">
        <f>200+511</f>
        <v>711</v>
      </c>
      <c r="O46" s="35"/>
      <c r="P46" s="35"/>
      <c r="Q46" s="35"/>
      <c r="R46" s="14"/>
      <c r="S46" s="14"/>
      <c r="T46" s="35"/>
      <c r="U46" s="35"/>
    </row>
    <row r="47" spans="1:22" ht="51" x14ac:dyDescent="0.2">
      <c r="A47" s="1" t="s">
        <v>368</v>
      </c>
      <c r="B47" s="2" t="s">
        <v>196</v>
      </c>
      <c r="C47" s="2" t="s">
        <v>369</v>
      </c>
      <c r="D47" s="2" t="s">
        <v>115</v>
      </c>
      <c r="E47" s="2">
        <v>2020</v>
      </c>
      <c r="F47" s="2" t="s">
        <v>337</v>
      </c>
      <c r="G47" s="2" t="s">
        <v>1668</v>
      </c>
      <c r="H47" s="2" t="s">
        <v>1669</v>
      </c>
      <c r="I47" s="1" t="s">
        <v>14</v>
      </c>
      <c r="J47" s="1" t="s">
        <v>1338</v>
      </c>
      <c r="L47" s="34">
        <v>0.3</v>
      </c>
      <c r="M47" s="35"/>
      <c r="N47" s="35">
        <v>425</v>
      </c>
      <c r="O47" s="35"/>
      <c r="P47" s="35"/>
      <c r="Q47" s="35"/>
      <c r="R47" s="14"/>
      <c r="S47" s="14"/>
      <c r="T47" s="35"/>
      <c r="U47" s="35"/>
    </row>
    <row r="48" spans="1:22" ht="89.25" x14ac:dyDescent="0.2">
      <c r="A48" s="1" t="s">
        <v>368</v>
      </c>
      <c r="B48" s="2" t="s">
        <v>196</v>
      </c>
      <c r="C48" s="2" t="s">
        <v>369</v>
      </c>
      <c r="D48" s="2" t="s">
        <v>115</v>
      </c>
      <c r="E48" s="2">
        <v>2020</v>
      </c>
      <c r="F48" s="2" t="s">
        <v>364</v>
      </c>
      <c r="G48" s="2" t="s">
        <v>1669</v>
      </c>
      <c r="H48" s="2" t="s">
        <v>1668</v>
      </c>
      <c r="I48" s="1" t="s">
        <v>1477</v>
      </c>
      <c r="J48" s="1" t="s">
        <v>14</v>
      </c>
      <c r="L48" s="34"/>
      <c r="M48" s="35"/>
      <c r="N48" s="35"/>
      <c r="O48" s="35"/>
      <c r="P48" s="35"/>
      <c r="Q48" s="35"/>
      <c r="R48" s="14"/>
      <c r="S48" s="14"/>
      <c r="T48" s="35"/>
      <c r="U48" s="35"/>
      <c r="V48" s="60" t="s">
        <v>1700</v>
      </c>
    </row>
    <row r="49" spans="1:23" ht="89.25" x14ac:dyDescent="0.2">
      <c r="A49" s="1" t="s">
        <v>368</v>
      </c>
      <c r="B49" s="2" t="s">
        <v>196</v>
      </c>
      <c r="C49" s="2" t="s">
        <v>369</v>
      </c>
      <c r="D49" s="2" t="s">
        <v>115</v>
      </c>
      <c r="E49" s="2">
        <v>2020</v>
      </c>
      <c r="F49" s="2" t="s">
        <v>388</v>
      </c>
      <c r="G49" s="2" t="s">
        <v>1669</v>
      </c>
      <c r="H49" s="2" t="s">
        <v>1668</v>
      </c>
      <c r="I49" s="1" t="s">
        <v>1597</v>
      </c>
      <c r="J49" s="1" t="s">
        <v>14</v>
      </c>
      <c r="L49" s="34"/>
      <c r="M49" s="35"/>
      <c r="N49" s="35"/>
      <c r="O49" s="35"/>
      <c r="P49" s="35"/>
      <c r="Q49" s="35"/>
      <c r="R49" s="14"/>
      <c r="S49" s="14"/>
      <c r="T49" s="35"/>
      <c r="U49" s="35"/>
      <c r="V49" s="60" t="s">
        <v>1700</v>
      </c>
    </row>
    <row r="50" spans="1:23" ht="25.5" x14ac:dyDescent="0.2">
      <c r="A50" s="1" t="s">
        <v>407</v>
      </c>
      <c r="B50" s="2" t="s">
        <v>196</v>
      </c>
      <c r="C50" s="2" t="s">
        <v>408</v>
      </c>
      <c r="D50" s="2" t="s">
        <v>80</v>
      </c>
      <c r="E50" s="2">
        <v>2020</v>
      </c>
      <c r="F50" s="2" t="s">
        <v>337</v>
      </c>
      <c r="G50" s="2" t="s">
        <v>1669</v>
      </c>
      <c r="H50" s="2" t="s">
        <v>1669</v>
      </c>
      <c r="I50" s="1" t="s">
        <v>1368</v>
      </c>
      <c r="J50" s="1" t="s">
        <v>1369</v>
      </c>
      <c r="L50" s="34" t="s">
        <v>1670</v>
      </c>
      <c r="M50" s="35"/>
      <c r="N50" s="35"/>
      <c r="O50" s="35"/>
      <c r="P50" s="35"/>
      <c r="Q50" s="35"/>
      <c r="R50" s="14"/>
      <c r="S50" s="14"/>
      <c r="T50" s="35"/>
      <c r="U50" s="35"/>
      <c r="V50" s="60" t="s">
        <v>1683</v>
      </c>
    </row>
    <row r="51" spans="1:23" ht="76.5" x14ac:dyDescent="0.2">
      <c r="A51" s="1" t="s">
        <v>334</v>
      </c>
      <c r="B51" s="2" t="s">
        <v>196</v>
      </c>
      <c r="C51" s="2" t="s">
        <v>335</v>
      </c>
      <c r="D51" s="2" t="s">
        <v>141</v>
      </c>
      <c r="E51" s="2">
        <v>2020</v>
      </c>
      <c r="F51" s="2" t="s">
        <v>256</v>
      </c>
      <c r="G51" s="2" t="s">
        <v>1669</v>
      </c>
      <c r="H51" s="2" t="s">
        <v>1669</v>
      </c>
      <c r="I51" s="1" t="s">
        <v>948</v>
      </c>
      <c r="J51" s="1" t="s">
        <v>948</v>
      </c>
      <c r="L51" s="34" t="s">
        <v>1670</v>
      </c>
      <c r="M51" s="35"/>
      <c r="N51" s="35">
        <v>2216.34</v>
      </c>
      <c r="O51" s="35"/>
      <c r="P51" s="35"/>
      <c r="Q51" s="35"/>
      <c r="R51" s="14"/>
      <c r="S51" s="14"/>
      <c r="T51" s="35"/>
      <c r="U51" s="35"/>
      <c r="V51" s="60" t="s">
        <v>1743</v>
      </c>
      <c r="W51" s="4"/>
    </row>
    <row r="52" spans="1:23" ht="63.75" x14ac:dyDescent="0.2">
      <c r="A52" s="1" t="s">
        <v>151</v>
      </c>
      <c r="B52" s="2" t="s">
        <v>16</v>
      </c>
      <c r="C52" s="2" t="s">
        <v>152</v>
      </c>
      <c r="D52" s="2" t="s">
        <v>141</v>
      </c>
      <c r="E52" s="2">
        <v>2020</v>
      </c>
      <c r="F52" s="2" t="s">
        <v>13</v>
      </c>
      <c r="G52" s="2" t="s">
        <v>1667</v>
      </c>
      <c r="H52" s="2" t="s">
        <v>1669</v>
      </c>
      <c r="I52" s="1" t="s">
        <v>14</v>
      </c>
      <c r="J52" s="1" t="s">
        <v>540</v>
      </c>
      <c r="L52" s="5">
        <v>0.22570000000000001</v>
      </c>
      <c r="M52" s="35"/>
      <c r="N52" s="35"/>
      <c r="O52" s="35"/>
      <c r="P52" s="35"/>
      <c r="Q52" s="35"/>
      <c r="R52" s="37">
        <f>1623*0.04/L52*0.75</f>
        <v>215.72884359769608</v>
      </c>
      <c r="S52" s="35"/>
      <c r="T52" s="35"/>
      <c r="U52" s="35"/>
      <c r="V52" s="60" t="s">
        <v>1758</v>
      </c>
    </row>
    <row r="53" spans="1:23" ht="63.75" x14ac:dyDescent="0.2">
      <c r="A53" s="1" t="s">
        <v>151</v>
      </c>
      <c r="B53" s="2" t="s">
        <v>16</v>
      </c>
      <c r="C53" s="2" t="s">
        <v>152</v>
      </c>
      <c r="D53" s="2" t="s">
        <v>141</v>
      </c>
      <c r="E53" s="2">
        <v>2020</v>
      </c>
      <c r="F53" s="2" t="s">
        <v>188</v>
      </c>
      <c r="G53" s="2" t="s">
        <v>1667</v>
      </c>
      <c r="H53" s="2" t="s">
        <v>1669</v>
      </c>
      <c r="I53" s="1" t="s">
        <v>14</v>
      </c>
      <c r="J53" s="1" t="s">
        <v>602</v>
      </c>
      <c r="L53" s="34">
        <v>0.22450000000000001</v>
      </c>
      <c r="M53" s="35"/>
      <c r="N53" s="35"/>
      <c r="O53" s="35"/>
      <c r="P53" s="35"/>
      <c r="Q53" s="35"/>
      <c r="R53" s="38">
        <f>1481*0.04/L53*0.75</f>
        <v>197.90645879732742</v>
      </c>
      <c r="S53" s="35"/>
      <c r="T53" s="35"/>
      <c r="U53" s="35"/>
      <c r="V53" s="60" t="s">
        <v>1758</v>
      </c>
    </row>
    <row r="54" spans="1:23" ht="63.75" x14ac:dyDescent="0.2">
      <c r="A54" s="1" t="s">
        <v>151</v>
      </c>
      <c r="B54" s="2" t="s">
        <v>16</v>
      </c>
      <c r="C54" s="2" t="s">
        <v>152</v>
      </c>
      <c r="D54" s="2" t="s">
        <v>141</v>
      </c>
      <c r="E54" s="2">
        <v>2020</v>
      </c>
      <c r="F54" s="2" t="s">
        <v>203</v>
      </c>
      <c r="G54" s="2" t="s">
        <v>1667</v>
      </c>
      <c r="H54" s="2" t="s">
        <v>1669</v>
      </c>
      <c r="I54" s="1" t="s">
        <v>14</v>
      </c>
      <c r="J54" s="1" t="s">
        <v>669</v>
      </c>
      <c r="L54" s="34">
        <v>0.22919999999999999</v>
      </c>
      <c r="M54" s="35"/>
      <c r="N54" s="35"/>
      <c r="O54" s="35"/>
      <c r="P54" s="35"/>
      <c r="Q54" s="35"/>
      <c r="R54" s="38">
        <f>1716*0.04/L54*0.75</f>
        <v>224.60732984293193</v>
      </c>
      <c r="S54" s="35"/>
      <c r="T54" s="35"/>
      <c r="U54" s="35"/>
      <c r="V54" s="60" t="s">
        <v>1758</v>
      </c>
    </row>
    <row r="55" spans="1:23" ht="63.75" x14ac:dyDescent="0.2">
      <c r="A55" s="1" t="s">
        <v>151</v>
      </c>
      <c r="B55" s="2" t="s">
        <v>16</v>
      </c>
      <c r="C55" s="2" t="s">
        <v>152</v>
      </c>
      <c r="D55" s="2" t="s">
        <v>141</v>
      </c>
      <c r="E55" s="2">
        <v>2020</v>
      </c>
      <c r="F55" s="2" t="s">
        <v>211</v>
      </c>
      <c r="G55" s="2" t="s">
        <v>1667</v>
      </c>
      <c r="H55" s="2" t="s">
        <v>1669</v>
      </c>
      <c r="I55" s="1" t="s">
        <v>14</v>
      </c>
      <c r="J55" s="1" t="s">
        <v>744</v>
      </c>
      <c r="L55" s="34">
        <v>0.23549999999999999</v>
      </c>
      <c r="M55" s="35"/>
      <c r="N55" s="35"/>
      <c r="O55" s="35"/>
      <c r="P55" s="35"/>
      <c r="Q55" s="35"/>
      <c r="R55" s="38">
        <f>1498*0.04/L55*0.75</f>
        <v>190.82802547770703</v>
      </c>
      <c r="S55" s="35"/>
      <c r="T55" s="35"/>
      <c r="U55" s="35"/>
      <c r="V55" s="60" t="s">
        <v>1758</v>
      </c>
    </row>
    <row r="56" spans="1:23" ht="63.75" x14ac:dyDescent="0.2">
      <c r="A56" s="1" t="s">
        <v>151</v>
      </c>
      <c r="B56" s="2" t="s">
        <v>16</v>
      </c>
      <c r="C56" s="2" t="s">
        <v>152</v>
      </c>
      <c r="D56" s="2" t="s">
        <v>141</v>
      </c>
      <c r="E56" s="2">
        <v>2020</v>
      </c>
      <c r="F56" s="2" t="s">
        <v>221</v>
      </c>
      <c r="G56" s="2" t="s">
        <v>1667</v>
      </c>
      <c r="H56" s="2" t="s">
        <v>1669</v>
      </c>
      <c r="I56" s="1" t="s">
        <v>14</v>
      </c>
      <c r="J56" s="1" t="s">
        <v>803</v>
      </c>
      <c r="L56" s="34">
        <v>0.2346</v>
      </c>
      <c r="M56" s="35"/>
      <c r="N56" s="35"/>
      <c r="O56" s="35"/>
      <c r="P56" s="35"/>
      <c r="Q56" s="35"/>
      <c r="R56" s="38">
        <f>1495*0.04/L56*0.75</f>
        <v>191.1764705882353</v>
      </c>
      <c r="S56" s="35"/>
      <c r="T56" s="35"/>
      <c r="U56" s="35"/>
      <c r="V56" s="60" t="s">
        <v>1758</v>
      </c>
    </row>
    <row r="57" spans="1:23" ht="63.75" x14ac:dyDescent="0.2">
      <c r="A57" s="1" t="s">
        <v>151</v>
      </c>
      <c r="B57" s="2" t="s">
        <v>16</v>
      </c>
      <c r="C57" s="2" t="s">
        <v>152</v>
      </c>
      <c r="D57" s="2" t="s">
        <v>141</v>
      </c>
      <c r="E57" s="2">
        <v>2020</v>
      </c>
      <c r="F57" s="2" t="s">
        <v>256</v>
      </c>
      <c r="G57" s="2" t="s">
        <v>1667</v>
      </c>
      <c r="H57" s="2" t="s">
        <v>1669</v>
      </c>
      <c r="I57" s="1" t="s">
        <v>14</v>
      </c>
      <c r="J57" s="1" t="s">
        <v>942</v>
      </c>
      <c r="L57" s="34">
        <v>0.2389</v>
      </c>
      <c r="M57" s="35"/>
      <c r="N57" s="35"/>
      <c r="O57" s="35"/>
      <c r="P57" s="35"/>
      <c r="Q57" s="35"/>
      <c r="R57" s="38">
        <f>1495*0.04/L57*0.75</f>
        <v>187.73545416492257</v>
      </c>
      <c r="S57" s="14"/>
      <c r="T57" s="35"/>
      <c r="U57" s="35"/>
      <c r="V57" s="60" t="s">
        <v>1758</v>
      </c>
    </row>
    <row r="58" spans="1:23" ht="63.75" x14ac:dyDescent="0.2">
      <c r="A58" s="1" t="s">
        <v>151</v>
      </c>
      <c r="B58" s="2" t="s">
        <v>16</v>
      </c>
      <c r="C58" s="2" t="s">
        <v>152</v>
      </c>
      <c r="D58" s="2" t="s">
        <v>141</v>
      </c>
      <c r="E58" s="2">
        <v>2020</v>
      </c>
      <c r="F58" s="2" t="s">
        <v>276</v>
      </c>
      <c r="G58" s="2" t="s">
        <v>1667</v>
      </c>
      <c r="H58" s="2" t="s">
        <v>1669</v>
      </c>
      <c r="I58" s="1" t="s">
        <v>14</v>
      </c>
      <c r="J58" s="1" t="s">
        <v>981</v>
      </c>
      <c r="L58" s="34">
        <v>0.24</v>
      </c>
      <c r="M58" s="35"/>
      <c r="N58" s="35"/>
      <c r="O58" s="35"/>
      <c r="P58" s="35"/>
      <c r="Q58" s="35"/>
      <c r="R58" s="38">
        <f>1691*0.04/L58*0.75</f>
        <v>211.37500000000003</v>
      </c>
      <c r="S58" s="14"/>
      <c r="T58" s="35"/>
      <c r="U58" s="35"/>
      <c r="V58" s="60" t="s">
        <v>1758</v>
      </c>
    </row>
    <row r="59" spans="1:23" ht="63.75" x14ac:dyDescent="0.2">
      <c r="A59" s="1" t="s">
        <v>151</v>
      </c>
      <c r="B59" s="2" t="s">
        <v>16</v>
      </c>
      <c r="C59" s="2" t="s">
        <v>152</v>
      </c>
      <c r="D59" s="2" t="s">
        <v>141</v>
      </c>
      <c r="E59" s="2">
        <v>2020</v>
      </c>
      <c r="F59" s="2" t="s">
        <v>291</v>
      </c>
      <c r="G59" s="2" t="s">
        <v>1667</v>
      </c>
      <c r="H59" s="2" t="s">
        <v>1669</v>
      </c>
      <c r="I59" s="1" t="s">
        <v>14</v>
      </c>
      <c r="J59" s="1" t="s">
        <v>1197</v>
      </c>
      <c r="L59" s="34">
        <v>0.23499999999999999</v>
      </c>
      <c r="M59" s="35"/>
      <c r="N59" s="35"/>
      <c r="O59" s="35"/>
      <c r="P59" s="35"/>
      <c r="Q59" s="35"/>
      <c r="R59" s="38">
        <f>1675*0.04/L59*0.75</f>
        <v>213.82978723404258</v>
      </c>
      <c r="S59" s="14"/>
      <c r="T59" s="35"/>
      <c r="U59" s="35"/>
      <c r="V59" s="60" t="s">
        <v>1758</v>
      </c>
    </row>
    <row r="60" spans="1:23" ht="63.75" x14ac:dyDescent="0.2">
      <c r="A60" s="1" t="s">
        <v>151</v>
      </c>
      <c r="B60" s="2" t="s">
        <v>16</v>
      </c>
      <c r="C60" s="2" t="s">
        <v>152</v>
      </c>
      <c r="D60" s="2" t="s">
        <v>141</v>
      </c>
      <c r="E60" s="2">
        <v>2020</v>
      </c>
      <c r="F60" s="2" t="s">
        <v>311</v>
      </c>
      <c r="G60" s="2" t="s">
        <v>1667</v>
      </c>
      <c r="H60" s="2" t="s">
        <v>1669</v>
      </c>
      <c r="I60" s="1" t="s">
        <v>14</v>
      </c>
      <c r="J60" s="1" t="s">
        <v>1229</v>
      </c>
      <c r="L60" s="34">
        <v>0.22850000000000001</v>
      </c>
      <c r="M60" s="35"/>
      <c r="N60" s="35"/>
      <c r="O60" s="35"/>
      <c r="P60" s="35"/>
      <c r="Q60" s="35"/>
      <c r="R60" s="38">
        <f>1583*0.04/L60*0.75</f>
        <v>207.83369803063459</v>
      </c>
      <c r="S60" s="14"/>
      <c r="T60" s="35"/>
      <c r="U60" s="35"/>
      <c r="V60" s="60" t="s">
        <v>1758</v>
      </c>
    </row>
    <row r="61" spans="1:23" ht="63.75" x14ac:dyDescent="0.2">
      <c r="A61" s="1" t="s">
        <v>151</v>
      </c>
      <c r="B61" s="2" t="s">
        <v>16</v>
      </c>
      <c r="C61" s="2" t="s">
        <v>152</v>
      </c>
      <c r="D61" s="2" t="s">
        <v>141</v>
      </c>
      <c r="E61" s="2">
        <v>2020</v>
      </c>
      <c r="F61" s="2" t="s">
        <v>337</v>
      </c>
      <c r="G61" s="2" t="s">
        <v>1667</v>
      </c>
      <c r="H61" s="2" t="s">
        <v>1669</v>
      </c>
      <c r="I61" s="1" t="s">
        <v>14</v>
      </c>
      <c r="J61" s="1" t="s">
        <v>1464</v>
      </c>
      <c r="L61" s="34">
        <v>0.22</v>
      </c>
      <c r="M61" s="35"/>
      <c r="N61" s="35"/>
      <c r="O61" s="35"/>
      <c r="P61" s="35"/>
      <c r="Q61" s="35"/>
      <c r="R61" s="38">
        <f>1644*0.04/L61*0.75</f>
        <v>224.18181818181819</v>
      </c>
      <c r="S61" s="14"/>
      <c r="T61" s="35"/>
      <c r="U61" s="35"/>
      <c r="V61" s="60" t="s">
        <v>1758</v>
      </c>
    </row>
    <row r="62" spans="1:23" ht="63.75" x14ac:dyDescent="0.2">
      <c r="A62" s="1" t="s">
        <v>151</v>
      </c>
      <c r="B62" s="2" t="s">
        <v>16</v>
      </c>
      <c r="C62" s="2" t="s">
        <v>152</v>
      </c>
      <c r="D62" s="2" t="s">
        <v>141</v>
      </c>
      <c r="E62" s="2">
        <v>2020</v>
      </c>
      <c r="F62" s="2" t="s">
        <v>364</v>
      </c>
      <c r="G62" s="2" t="s">
        <v>1667</v>
      </c>
      <c r="H62" s="2" t="s">
        <v>1669</v>
      </c>
      <c r="I62" s="1" t="s">
        <v>14</v>
      </c>
      <c r="J62" s="1" t="s">
        <v>1570</v>
      </c>
      <c r="L62" s="34">
        <v>0.22</v>
      </c>
      <c r="M62" s="35"/>
      <c r="N62" s="35"/>
      <c r="O62" s="35"/>
      <c r="P62" s="35"/>
      <c r="Q62" s="35"/>
      <c r="R62" s="38">
        <f>1576*0.04/L62*0.75</f>
        <v>214.90909090909093</v>
      </c>
      <c r="S62" s="14"/>
      <c r="T62" s="35"/>
      <c r="U62" s="35"/>
      <c r="V62" s="60" t="s">
        <v>1758</v>
      </c>
    </row>
    <row r="63" spans="1:23" ht="63.75" x14ac:dyDescent="0.2">
      <c r="A63" s="1" t="s">
        <v>151</v>
      </c>
      <c r="B63" s="2" t="s">
        <v>16</v>
      </c>
      <c r="C63" s="2" t="s">
        <v>152</v>
      </c>
      <c r="D63" s="2" t="s">
        <v>141</v>
      </c>
      <c r="E63" s="2">
        <v>2020</v>
      </c>
      <c r="F63" s="2" t="s">
        <v>388</v>
      </c>
      <c r="G63" s="2" t="s">
        <v>1667</v>
      </c>
      <c r="H63" s="2" t="s">
        <v>1669</v>
      </c>
      <c r="I63" s="1" t="s">
        <v>14</v>
      </c>
      <c r="J63" s="1" t="s">
        <v>1656</v>
      </c>
      <c r="L63" s="34">
        <v>0.22090000000000001</v>
      </c>
      <c r="M63" s="35"/>
      <c r="N63" s="35"/>
      <c r="O63" s="35"/>
      <c r="P63" s="35"/>
      <c r="Q63" s="35"/>
      <c r="R63" s="37">
        <f>2172*0.04/L63*0.75</f>
        <v>294.97510185604347</v>
      </c>
      <c r="S63" s="35"/>
      <c r="T63" s="35"/>
      <c r="U63" s="35"/>
      <c r="V63" s="60" t="s">
        <v>1758</v>
      </c>
    </row>
    <row r="64" spans="1:23" ht="38.25" x14ac:dyDescent="0.2">
      <c r="A64" s="1" t="s">
        <v>68</v>
      </c>
      <c r="B64" s="2" t="s">
        <v>69</v>
      </c>
      <c r="C64" s="2" t="s">
        <v>70</v>
      </c>
      <c r="D64" s="2" t="s">
        <v>71</v>
      </c>
      <c r="E64" s="2">
        <v>2020</v>
      </c>
      <c r="F64" s="2" t="s">
        <v>364</v>
      </c>
      <c r="G64" s="2" t="s">
        <v>1667</v>
      </c>
      <c r="H64" s="2" t="s">
        <v>1669</v>
      </c>
      <c r="I64" s="1" t="s">
        <v>14</v>
      </c>
      <c r="J64" s="1" t="s">
        <v>1510</v>
      </c>
      <c r="L64" s="34" t="s">
        <v>1670</v>
      </c>
      <c r="M64" s="35"/>
      <c r="N64" s="35"/>
      <c r="O64" s="35"/>
      <c r="P64" s="35"/>
      <c r="Q64" s="35"/>
      <c r="R64" s="14">
        <f>12*0.8</f>
        <v>9.6000000000000014</v>
      </c>
      <c r="S64" s="14"/>
      <c r="T64" s="35"/>
      <c r="U64" s="35"/>
      <c r="V64" s="60" t="s">
        <v>1680</v>
      </c>
    </row>
    <row r="65" spans="1:22" ht="25.5" x14ac:dyDescent="0.2">
      <c r="A65" s="1" t="s">
        <v>86</v>
      </c>
      <c r="B65" s="2" t="s">
        <v>29</v>
      </c>
      <c r="C65" s="2" t="s">
        <v>87</v>
      </c>
      <c r="D65" s="2" t="s">
        <v>88</v>
      </c>
      <c r="E65" s="2">
        <v>2020</v>
      </c>
      <c r="F65" s="2" t="s">
        <v>13</v>
      </c>
      <c r="G65" s="2" t="s">
        <v>1667</v>
      </c>
      <c r="H65" s="2" t="s">
        <v>1669</v>
      </c>
      <c r="I65" s="1" t="s">
        <v>14</v>
      </c>
      <c r="J65" s="1" t="s">
        <v>498</v>
      </c>
      <c r="L65" s="34">
        <v>0.19700000000000001</v>
      </c>
      <c r="M65" s="35"/>
      <c r="N65" s="35"/>
      <c r="O65" s="35">
        <v>354.2</v>
      </c>
      <c r="P65" s="35"/>
      <c r="Q65" s="35"/>
      <c r="R65" s="35"/>
      <c r="S65" s="35"/>
      <c r="T65" s="35"/>
      <c r="U65" s="35"/>
    </row>
    <row r="66" spans="1:22" ht="51" x14ac:dyDescent="0.2">
      <c r="A66" s="1" t="s">
        <v>86</v>
      </c>
      <c r="B66" s="2" t="s">
        <v>29</v>
      </c>
      <c r="C66" s="2" t="s">
        <v>87</v>
      </c>
      <c r="D66" s="2" t="s">
        <v>88</v>
      </c>
      <c r="E66" s="2">
        <v>2020</v>
      </c>
      <c r="F66" s="2" t="s">
        <v>188</v>
      </c>
      <c r="G66" s="2" t="s">
        <v>1667</v>
      </c>
      <c r="H66" s="2" t="s">
        <v>1669</v>
      </c>
      <c r="I66" s="1" t="s">
        <v>14</v>
      </c>
      <c r="J66" s="1" t="s">
        <v>595</v>
      </c>
      <c r="L66" s="34">
        <v>0.222</v>
      </c>
      <c r="M66" s="35"/>
      <c r="N66" s="35"/>
      <c r="O66" s="35">
        <v>224.5</v>
      </c>
      <c r="P66" s="35"/>
      <c r="Q66" s="35"/>
      <c r="R66" s="14"/>
      <c r="S66" s="35"/>
      <c r="T66" s="35"/>
      <c r="U66" s="35"/>
    </row>
    <row r="67" spans="1:22" ht="25.5" x14ac:dyDescent="0.2">
      <c r="A67" s="1" t="s">
        <v>86</v>
      </c>
      <c r="B67" s="2" t="s">
        <v>29</v>
      </c>
      <c r="C67" s="2" t="s">
        <v>87</v>
      </c>
      <c r="D67" s="2" t="s">
        <v>88</v>
      </c>
      <c r="E67" s="2">
        <v>2020</v>
      </c>
      <c r="F67" s="2" t="s">
        <v>203</v>
      </c>
      <c r="G67" s="2" t="s">
        <v>1667</v>
      </c>
      <c r="H67" s="2" t="s">
        <v>1669</v>
      </c>
      <c r="I67" s="1" t="s">
        <v>14</v>
      </c>
      <c r="J67" s="1" t="s">
        <v>676</v>
      </c>
      <c r="L67" s="34">
        <v>0.23400000000000001</v>
      </c>
      <c r="M67" s="35"/>
      <c r="N67" s="35"/>
      <c r="O67" s="35">
        <v>218.7</v>
      </c>
      <c r="P67" s="35"/>
      <c r="Q67" s="35"/>
      <c r="R67" s="14"/>
      <c r="S67" s="35"/>
      <c r="T67" s="35"/>
      <c r="U67" s="35"/>
    </row>
    <row r="68" spans="1:22" ht="25.5" x14ac:dyDescent="0.2">
      <c r="A68" s="1" t="s">
        <v>86</v>
      </c>
      <c r="B68" s="2" t="s">
        <v>29</v>
      </c>
      <c r="C68" s="2" t="s">
        <v>87</v>
      </c>
      <c r="D68" s="2" t="s">
        <v>88</v>
      </c>
      <c r="E68" s="2">
        <v>2020</v>
      </c>
      <c r="F68" s="2" t="s">
        <v>211</v>
      </c>
      <c r="G68" s="2" t="s">
        <v>1667</v>
      </c>
      <c r="H68" s="2" t="s">
        <v>1669</v>
      </c>
      <c r="I68" s="1" t="s">
        <v>14</v>
      </c>
      <c r="J68" s="1" t="s">
        <v>697</v>
      </c>
      <c r="L68" s="34">
        <v>0.222</v>
      </c>
      <c r="M68" s="35"/>
      <c r="N68" s="35"/>
      <c r="O68" s="35">
        <v>283.7</v>
      </c>
      <c r="P68" s="35"/>
      <c r="Q68" s="35"/>
      <c r="R68" s="14"/>
      <c r="S68" s="35"/>
      <c r="T68" s="35"/>
      <c r="U68" s="35"/>
    </row>
    <row r="69" spans="1:22" ht="63.75" x14ac:dyDescent="0.2">
      <c r="A69" s="1" t="s">
        <v>86</v>
      </c>
      <c r="B69" s="2" t="s">
        <v>29</v>
      </c>
      <c r="C69" s="2" t="s">
        <v>87</v>
      </c>
      <c r="D69" s="2" t="s">
        <v>88</v>
      </c>
      <c r="E69" s="2">
        <v>2020</v>
      </c>
      <c r="F69" s="2" t="s">
        <v>221</v>
      </c>
      <c r="G69" s="2" t="s">
        <v>1667</v>
      </c>
      <c r="H69" s="2" t="s">
        <v>1669</v>
      </c>
      <c r="I69" s="1" t="s">
        <v>14</v>
      </c>
      <c r="J69" s="1" t="s">
        <v>856</v>
      </c>
      <c r="L69" s="34">
        <v>0.20300000000000001</v>
      </c>
      <c r="M69" s="35"/>
      <c r="N69" s="35"/>
      <c r="O69" s="35">
        <v>283.2</v>
      </c>
      <c r="P69" s="35"/>
      <c r="Q69" s="35"/>
      <c r="R69" s="14"/>
      <c r="S69" s="14"/>
      <c r="T69" s="35"/>
      <c r="U69" s="35"/>
    </row>
    <row r="70" spans="1:22" ht="51" x14ac:dyDescent="0.2">
      <c r="A70" s="1" t="s">
        <v>86</v>
      </c>
      <c r="B70" s="2" t="s">
        <v>29</v>
      </c>
      <c r="C70" s="2" t="s">
        <v>87</v>
      </c>
      <c r="D70" s="2" t="s">
        <v>88</v>
      </c>
      <c r="E70" s="2">
        <v>2020</v>
      </c>
      <c r="F70" s="2" t="s">
        <v>256</v>
      </c>
      <c r="G70" s="2" t="s">
        <v>1667</v>
      </c>
      <c r="H70" s="2" t="s">
        <v>1669</v>
      </c>
      <c r="I70" s="1" t="s">
        <v>14</v>
      </c>
      <c r="J70" s="1" t="s">
        <v>875</v>
      </c>
      <c r="L70" s="34">
        <v>0.191</v>
      </c>
      <c r="M70" s="35"/>
      <c r="N70" s="35"/>
      <c r="O70" s="35">
        <v>367.2</v>
      </c>
      <c r="P70" s="35"/>
      <c r="Q70" s="35"/>
      <c r="R70" s="14"/>
      <c r="S70" s="14"/>
      <c r="T70" s="35"/>
      <c r="U70" s="35"/>
    </row>
    <row r="71" spans="1:22" ht="25.5" x14ac:dyDescent="0.2">
      <c r="A71" s="1" t="s">
        <v>86</v>
      </c>
      <c r="B71" s="2" t="s">
        <v>29</v>
      </c>
      <c r="C71" s="2" t="s">
        <v>87</v>
      </c>
      <c r="D71" s="2" t="s">
        <v>88</v>
      </c>
      <c r="E71" s="2">
        <v>2020</v>
      </c>
      <c r="F71" s="2" t="s">
        <v>276</v>
      </c>
      <c r="G71" s="2" t="s">
        <v>1667</v>
      </c>
      <c r="H71" s="2" t="s">
        <v>1669</v>
      </c>
      <c r="I71" s="1" t="s">
        <v>14</v>
      </c>
      <c r="J71" s="1" t="s">
        <v>1056</v>
      </c>
      <c r="L71" s="34">
        <v>0.191</v>
      </c>
      <c r="M71" s="35"/>
      <c r="N71" s="35">
        <v>17.75</v>
      </c>
      <c r="O71" s="35">
        <v>332.55</v>
      </c>
      <c r="P71" s="35"/>
      <c r="Q71" s="35"/>
      <c r="R71" s="14"/>
      <c r="S71" s="14"/>
      <c r="T71" s="35"/>
      <c r="U71" s="35"/>
    </row>
    <row r="72" spans="1:22" ht="38.25" x14ac:dyDescent="0.2">
      <c r="A72" s="1" t="s">
        <v>86</v>
      </c>
      <c r="B72" s="2" t="s">
        <v>29</v>
      </c>
      <c r="C72" s="2" t="s">
        <v>87</v>
      </c>
      <c r="D72" s="2" t="s">
        <v>88</v>
      </c>
      <c r="E72" s="2">
        <v>2020</v>
      </c>
      <c r="F72" s="2" t="s">
        <v>291</v>
      </c>
      <c r="G72" s="2" t="s">
        <v>1667</v>
      </c>
      <c r="H72" s="2" t="s">
        <v>1669</v>
      </c>
      <c r="I72" s="1" t="s">
        <v>14</v>
      </c>
      <c r="J72" s="1" t="s">
        <v>1141</v>
      </c>
      <c r="L72" s="34">
        <v>0.188</v>
      </c>
      <c r="M72" s="35"/>
      <c r="N72" s="35">
        <f>366.7/2</f>
        <v>183.35</v>
      </c>
      <c r="O72" s="35">
        <f>366.7/2</f>
        <v>183.35</v>
      </c>
      <c r="P72" s="35"/>
      <c r="Q72" s="35"/>
      <c r="R72" s="14"/>
      <c r="S72" s="14"/>
      <c r="T72" s="35"/>
      <c r="U72" s="35"/>
      <c r="V72" s="60" t="s">
        <v>1749</v>
      </c>
    </row>
    <row r="73" spans="1:22" ht="38.25" x14ac:dyDescent="0.2">
      <c r="A73" s="1" t="s">
        <v>86</v>
      </c>
      <c r="B73" s="2" t="s">
        <v>29</v>
      </c>
      <c r="C73" s="2" t="s">
        <v>87</v>
      </c>
      <c r="D73" s="2" t="s">
        <v>88</v>
      </c>
      <c r="E73" s="2">
        <v>2020</v>
      </c>
      <c r="F73" s="2" t="s">
        <v>311</v>
      </c>
      <c r="G73" s="2" t="s">
        <v>1667</v>
      </c>
      <c r="H73" s="2" t="s">
        <v>1669</v>
      </c>
      <c r="I73" s="1" t="s">
        <v>14</v>
      </c>
      <c r="J73" s="1" t="s">
        <v>1254</v>
      </c>
      <c r="L73" s="34">
        <v>0.183</v>
      </c>
      <c r="M73" s="35"/>
      <c r="N73" s="35">
        <v>284.89999999999998</v>
      </c>
      <c r="O73" s="35"/>
      <c r="P73" s="35"/>
      <c r="Q73" s="35"/>
      <c r="R73" s="14"/>
      <c r="S73" s="14"/>
      <c r="T73" s="35"/>
      <c r="U73" s="35"/>
      <c r="V73" s="60"/>
    </row>
    <row r="74" spans="1:22" ht="25.5" x14ac:dyDescent="0.2">
      <c r="A74" s="1" t="s">
        <v>86</v>
      </c>
      <c r="B74" s="2" t="s">
        <v>29</v>
      </c>
      <c r="C74" s="2" t="s">
        <v>87</v>
      </c>
      <c r="D74" s="2" t="s">
        <v>88</v>
      </c>
      <c r="E74" s="2">
        <v>2020</v>
      </c>
      <c r="F74" s="2" t="s">
        <v>337</v>
      </c>
      <c r="G74" s="2" t="s">
        <v>1667</v>
      </c>
      <c r="H74" s="2" t="s">
        <v>1669</v>
      </c>
      <c r="I74" s="1" t="s">
        <v>14</v>
      </c>
      <c r="J74" s="1" t="s">
        <v>1447</v>
      </c>
      <c r="L74" s="34">
        <v>0.182</v>
      </c>
      <c r="M74" s="35"/>
      <c r="N74" s="35">
        <v>293.60000000000002</v>
      </c>
      <c r="O74" s="35"/>
      <c r="P74" s="35"/>
      <c r="Q74" s="35"/>
      <c r="R74" s="14"/>
      <c r="S74" s="14"/>
      <c r="T74" s="35"/>
      <c r="U74" s="35"/>
      <c r="V74" s="60"/>
    </row>
    <row r="75" spans="1:22" ht="51" x14ac:dyDescent="0.2">
      <c r="A75" s="1" t="s">
        <v>86</v>
      </c>
      <c r="B75" s="2" t="s">
        <v>29</v>
      </c>
      <c r="C75" s="2" t="s">
        <v>87</v>
      </c>
      <c r="D75" s="2" t="s">
        <v>88</v>
      </c>
      <c r="E75" s="2">
        <v>2020</v>
      </c>
      <c r="F75" s="2" t="s">
        <v>364</v>
      </c>
      <c r="G75" s="2" t="s">
        <v>1667</v>
      </c>
      <c r="H75" s="2" t="s">
        <v>1669</v>
      </c>
      <c r="I75" s="1" t="s">
        <v>14</v>
      </c>
      <c r="J75" s="1" t="s">
        <v>1495</v>
      </c>
      <c r="L75" s="34">
        <v>0.183</v>
      </c>
      <c r="M75" s="35"/>
      <c r="N75" s="35">
        <f>326.6/2</f>
        <v>163.30000000000001</v>
      </c>
      <c r="O75" s="35">
        <f>326.6/2</f>
        <v>163.30000000000001</v>
      </c>
      <c r="P75" s="35"/>
      <c r="Q75" s="35"/>
      <c r="R75" s="14"/>
      <c r="S75" s="14"/>
      <c r="T75" s="35"/>
      <c r="U75" s="35"/>
      <c r="V75" s="60" t="s">
        <v>1749</v>
      </c>
    </row>
    <row r="76" spans="1:22" ht="38.25" x14ac:dyDescent="0.2">
      <c r="A76" s="1" t="s">
        <v>86</v>
      </c>
      <c r="B76" s="2" t="s">
        <v>29</v>
      </c>
      <c r="C76" s="2" t="s">
        <v>87</v>
      </c>
      <c r="D76" s="2" t="s">
        <v>88</v>
      </c>
      <c r="E76" s="2">
        <v>2020</v>
      </c>
      <c r="F76" s="2" t="s">
        <v>388</v>
      </c>
      <c r="G76" s="2" t="s">
        <v>1667</v>
      </c>
      <c r="H76" s="2" t="s">
        <v>1669</v>
      </c>
      <c r="I76" s="1" t="s">
        <v>14</v>
      </c>
      <c r="J76" s="1" t="s">
        <v>1638</v>
      </c>
      <c r="L76" s="34">
        <v>0.187</v>
      </c>
      <c r="M76" s="35"/>
      <c r="N76" s="35">
        <f>319.3/2</f>
        <v>159.65</v>
      </c>
      <c r="O76" s="35">
        <f>319.3/2</f>
        <v>159.65</v>
      </c>
      <c r="P76" s="35"/>
      <c r="Q76" s="35"/>
      <c r="R76" s="35"/>
      <c r="S76" s="35"/>
      <c r="T76" s="35"/>
      <c r="U76" s="35"/>
      <c r="V76" s="60" t="s">
        <v>1749</v>
      </c>
    </row>
    <row r="77" spans="1:22" ht="38.25" x14ac:dyDescent="0.2">
      <c r="A77" s="1" t="s">
        <v>1385</v>
      </c>
      <c r="B77" s="2" t="s">
        <v>198</v>
      </c>
      <c r="C77" s="2" t="s">
        <v>87</v>
      </c>
      <c r="D77" s="2" t="s">
        <v>88</v>
      </c>
      <c r="E77" s="2">
        <v>2020</v>
      </c>
      <c r="F77" s="2" t="s">
        <v>337</v>
      </c>
      <c r="G77" s="2" t="s">
        <v>1669</v>
      </c>
      <c r="H77" s="2" t="s">
        <v>1669</v>
      </c>
      <c r="I77" s="1" t="s">
        <v>1386</v>
      </c>
      <c r="J77" s="1" t="s">
        <v>1387</v>
      </c>
      <c r="L77" s="34">
        <v>2.5000000000000001E-2</v>
      </c>
      <c r="M77" s="35"/>
      <c r="N77" s="35"/>
      <c r="O77" s="35"/>
      <c r="P77" s="35"/>
      <c r="Q77" s="35"/>
      <c r="R77" s="39">
        <v>211.47</v>
      </c>
      <c r="S77" s="14"/>
      <c r="T77" s="35"/>
      <c r="U77" s="35"/>
      <c r="V77" s="60" t="s">
        <v>1699</v>
      </c>
    </row>
    <row r="78" spans="1:22" ht="38.25" x14ac:dyDescent="0.2">
      <c r="A78" s="1" t="s">
        <v>190</v>
      </c>
      <c r="B78" s="2" t="s">
        <v>10</v>
      </c>
      <c r="C78" s="2" t="s">
        <v>191</v>
      </c>
      <c r="D78" s="2" t="s">
        <v>192</v>
      </c>
      <c r="E78" s="2">
        <v>2020</v>
      </c>
      <c r="F78" s="2" t="s">
        <v>13</v>
      </c>
      <c r="G78" s="2" t="s">
        <v>1667</v>
      </c>
      <c r="H78" s="2" t="s">
        <v>1669</v>
      </c>
      <c r="I78" s="1" t="s">
        <v>14</v>
      </c>
      <c r="J78" s="1" t="s">
        <v>457</v>
      </c>
      <c r="L78" s="34"/>
      <c r="M78" s="35"/>
      <c r="N78" s="35"/>
      <c r="O78" s="35"/>
      <c r="P78" s="35"/>
      <c r="Q78" s="35"/>
      <c r="R78" s="35"/>
      <c r="S78" s="35"/>
      <c r="T78" s="35"/>
      <c r="U78" s="35"/>
      <c r="V78" s="60" t="s">
        <v>1735</v>
      </c>
    </row>
    <row r="79" spans="1:22" ht="38.25" x14ac:dyDescent="0.2">
      <c r="A79" s="1" t="s">
        <v>190</v>
      </c>
      <c r="B79" s="2" t="s">
        <v>10</v>
      </c>
      <c r="C79" s="2" t="s">
        <v>191</v>
      </c>
      <c r="D79" s="2" t="s">
        <v>192</v>
      </c>
      <c r="E79" s="2">
        <v>2020</v>
      </c>
      <c r="F79" s="2" t="s">
        <v>188</v>
      </c>
      <c r="G79" s="2" t="s">
        <v>1667</v>
      </c>
      <c r="H79" s="2" t="s">
        <v>1669</v>
      </c>
      <c r="I79" s="1" t="s">
        <v>14</v>
      </c>
      <c r="J79" s="1" t="s">
        <v>457</v>
      </c>
      <c r="L79" s="34"/>
      <c r="M79" s="35"/>
      <c r="N79" s="35"/>
      <c r="O79" s="35"/>
      <c r="P79" s="35"/>
      <c r="Q79" s="35"/>
      <c r="R79" s="35"/>
      <c r="S79" s="35"/>
      <c r="T79" s="35"/>
      <c r="U79" s="35"/>
      <c r="V79" s="60" t="s">
        <v>1735</v>
      </c>
    </row>
    <row r="80" spans="1:22" ht="38.25" x14ac:dyDescent="0.2">
      <c r="A80" s="1" t="s">
        <v>190</v>
      </c>
      <c r="B80" s="2" t="s">
        <v>10</v>
      </c>
      <c r="C80" s="2" t="s">
        <v>191</v>
      </c>
      <c r="D80" s="2" t="s">
        <v>192</v>
      </c>
      <c r="E80" s="2">
        <v>2020</v>
      </c>
      <c r="F80" s="2" t="s">
        <v>203</v>
      </c>
      <c r="G80" s="2" t="s">
        <v>1667</v>
      </c>
      <c r="H80" s="2" t="s">
        <v>1669</v>
      </c>
      <c r="I80" s="1" t="s">
        <v>14</v>
      </c>
      <c r="J80" s="1" t="s">
        <v>652</v>
      </c>
      <c r="L80" s="34"/>
      <c r="M80" s="35"/>
      <c r="N80" s="35"/>
      <c r="O80" s="35"/>
      <c r="P80" s="35"/>
      <c r="Q80" s="35"/>
      <c r="S80" s="35"/>
      <c r="T80" s="35"/>
      <c r="U80" s="35"/>
      <c r="V80" s="60" t="s">
        <v>1735</v>
      </c>
    </row>
    <row r="81" spans="1:22" ht="38.25" x14ac:dyDescent="0.2">
      <c r="A81" s="1" t="s">
        <v>190</v>
      </c>
      <c r="B81" s="2" t="s">
        <v>10</v>
      </c>
      <c r="C81" s="2" t="s">
        <v>191</v>
      </c>
      <c r="D81" s="2" t="s">
        <v>192</v>
      </c>
      <c r="E81" s="2">
        <v>2020</v>
      </c>
      <c r="F81" s="2" t="s">
        <v>211</v>
      </c>
      <c r="G81" s="2" t="s">
        <v>1667</v>
      </c>
      <c r="H81" s="2" t="s">
        <v>1669</v>
      </c>
      <c r="I81" s="1" t="s">
        <v>14</v>
      </c>
      <c r="J81" s="1" t="s">
        <v>692</v>
      </c>
      <c r="L81" s="34"/>
      <c r="M81" s="35"/>
      <c r="N81" s="35"/>
      <c r="O81" s="35"/>
      <c r="P81" s="35"/>
      <c r="Q81" s="35"/>
      <c r="S81" s="35"/>
      <c r="T81" s="35"/>
      <c r="U81" s="35"/>
      <c r="V81" s="60" t="s">
        <v>1735</v>
      </c>
    </row>
    <row r="82" spans="1:22" ht="38.25" x14ac:dyDescent="0.2">
      <c r="A82" s="1" t="s">
        <v>190</v>
      </c>
      <c r="B82" s="2" t="s">
        <v>10</v>
      </c>
      <c r="C82" s="2" t="s">
        <v>191</v>
      </c>
      <c r="D82" s="2" t="s">
        <v>192</v>
      </c>
      <c r="E82" s="2">
        <v>2020</v>
      </c>
      <c r="F82" s="2" t="s">
        <v>221</v>
      </c>
      <c r="G82" s="2" t="s">
        <v>1667</v>
      </c>
      <c r="H82" s="2" t="s">
        <v>1669</v>
      </c>
      <c r="I82" s="1" t="s">
        <v>14</v>
      </c>
      <c r="J82" s="1" t="s">
        <v>840</v>
      </c>
      <c r="L82" s="34"/>
      <c r="M82" s="35"/>
      <c r="N82" s="35"/>
      <c r="O82" s="35"/>
      <c r="P82" s="35"/>
      <c r="Q82" s="35"/>
      <c r="S82" s="14"/>
      <c r="T82" s="35"/>
      <c r="U82" s="35"/>
      <c r="V82" s="60" t="s">
        <v>1735</v>
      </c>
    </row>
    <row r="83" spans="1:22" ht="38.25" x14ac:dyDescent="0.2">
      <c r="A83" s="1" t="s">
        <v>190</v>
      </c>
      <c r="B83" s="2" t="s">
        <v>10</v>
      </c>
      <c r="C83" s="2" t="s">
        <v>191</v>
      </c>
      <c r="D83" s="2" t="s">
        <v>192</v>
      </c>
      <c r="E83" s="2">
        <v>2020</v>
      </c>
      <c r="F83" s="2" t="s">
        <v>256</v>
      </c>
      <c r="G83" s="2" t="s">
        <v>1667</v>
      </c>
      <c r="H83" s="2" t="s">
        <v>1669</v>
      </c>
      <c r="I83" s="1" t="s">
        <v>14</v>
      </c>
      <c r="J83" s="1" t="s">
        <v>890</v>
      </c>
      <c r="L83" s="34"/>
      <c r="M83" s="35"/>
      <c r="N83" s="35"/>
      <c r="O83" s="35"/>
      <c r="P83" s="35"/>
      <c r="Q83" s="35"/>
      <c r="S83" s="14"/>
      <c r="T83" s="35"/>
      <c r="U83" s="35"/>
      <c r="V83" s="60" t="s">
        <v>1735</v>
      </c>
    </row>
    <row r="84" spans="1:22" ht="38.25" x14ac:dyDescent="0.2">
      <c r="A84" s="1" t="s">
        <v>190</v>
      </c>
      <c r="B84" s="2" t="s">
        <v>10</v>
      </c>
      <c r="C84" s="2" t="s">
        <v>191</v>
      </c>
      <c r="D84" s="2" t="s">
        <v>192</v>
      </c>
      <c r="E84" s="2">
        <v>2020</v>
      </c>
      <c r="F84" s="2" t="s">
        <v>276</v>
      </c>
      <c r="G84" s="2" t="s">
        <v>1667</v>
      </c>
      <c r="H84" s="2" t="s">
        <v>1669</v>
      </c>
      <c r="I84" s="1" t="s">
        <v>14</v>
      </c>
      <c r="J84" s="1" t="s">
        <v>272</v>
      </c>
      <c r="L84" s="34"/>
      <c r="M84" s="35"/>
      <c r="N84" s="35"/>
      <c r="O84" s="35"/>
      <c r="P84" s="35"/>
      <c r="Q84" s="35"/>
      <c r="S84" s="14"/>
      <c r="T84" s="35"/>
      <c r="U84" s="35"/>
      <c r="V84" s="60" t="s">
        <v>1735</v>
      </c>
    </row>
    <row r="85" spans="1:22" ht="38.25" x14ac:dyDescent="0.2">
      <c r="A85" s="1" t="s">
        <v>190</v>
      </c>
      <c r="B85" s="2" t="s">
        <v>10</v>
      </c>
      <c r="C85" s="2" t="s">
        <v>191</v>
      </c>
      <c r="D85" s="2" t="s">
        <v>192</v>
      </c>
      <c r="E85" s="2">
        <v>2020</v>
      </c>
      <c r="F85" s="2" t="s">
        <v>291</v>
      </c>
      <c r="G85" s="2" t="s">
        <v>1667</v>
      </c>
      <c r="H85" s="2" t="s">
        <v>1669</v>
      </c>
      <c r="I85" s="1" t="s">
        <v>14</v>
      </c>
      <c r="J85" s="1" t="s">
        <v>890</v>
      </c>
      <c r="L85" s="34"/>
      <c r="M85" s="35"/>
      <c r="N85" s="35"/>
      <c r="O85" s="35"/>
      <c r="P85" s="35"/>
      <c r="Q85" s="35"/>
      <c r="S85" s="14"/>
      <c r="T85" s="35"/>
      <c r="U85" s="35"/>
      <c r="V85" s="60" t="s">
        <v>1735</v>
      </c>
    </row>
    <row r="86" spans="1:22" ht="38.25" x14ac:dyDescent="0.2">
      <c r="A86" s="1" t="s">
        <v>190</v>
      </c>
      <c r="B86" s="2" t="s">
        <v>10</v>
      </c>
      <c r="C86" s="2" t="s">
        <v>191</v>
      </c>
      <c r="D86" s="2" t="s">
        <v>192</v>
      </c>
      <c r="E86" s="2">
        <v>2020</v>
      </c>
      <c r="F86" s="2" t="s">
        <v>311</v>
      </c>
      <c r="G86" s="2" t="s">
        <v>1667</v>
      </c>
      <c r="H86" s="2" t="s">
        <v>1669</v>
      </c>
      <c r="I86" s="1" t="s">
        <v>14</v>
      </c>
      <c r="J86" s="1" t="s">
        <v>1285</v>
      </c>
      <c r="L86" s="34"/>
      <c r="M86" s="35"/>
      <c r="N86" s="35"/>
      <c r="O86" s="35"/>
      <c r="P86" s="35"/>
      <c r="Q86" s="35"/>
      <c r="S86" s="14"/>
      <c r="T86" s="35"/>
      <c r="U86" s="35"/>
      <c r="V86" s="60" t="s">
        <v>1735</v>
      </c>
    </row>
    <row r="87" spans="1:22" ht="38.25" x14ac:dyDescent="0.2">
      <c r="A87" s="1" t="s">
        <v>190</v>
      </c>
      <c r="B87" s="2" t="s">
        <v>10</v>
      </c>
      <c r="C87" s="2" t="s">
        <v>191</v>
      </c>
      <c r="D87" s="2" t="s">
        <v>192</v>
      </c>
      <c r="E87" s="2">
        <v>2020</v>
      </c>
      <c r="F87" s="2" t="s">
        <v>337</v>
      </c>
      <c r="G87" s="2" t="s">
        <v>1667</v>
      </c>
      <c r="H87" s="2" t="s">
        <v>1669</v>
      </c>
      <c r="I87" s="1" t="s">
        <v>14</v>
      </c>
      <c r="J87" s="1" t="s">
        <v>890</v>
      </c>
      <c r="L87" s="34"/>
      <c r="M87" s="35"/>
      <c r="N87" s="35"/>
      <c r="O87" s="35"/>
      <c r="P87" s="35"/>
      <c r="Q87" s="35"/>
      <c r="S87" s="14"/>
      <c r="T87" s="35"/>
      <c r="U87" s="35"/>
      <c r="V87" s="60" t="s">
        <v>1735</v>
      </c>
    </row>
    <row r="88" spans="1:22" ht="38.25" x14ac:dyDescent="0.2">
      <c r="A88" s="1" t="s">
        <v>190</v>
      </c>
      <c r="B88" s="2" t="s">
        <v>10</v>
      </c>
      <c r="C88" s="2" t="s">
        <v>191</v>
      </c>
      <c r="D88" s="2" t="s">
        <v>192</v>
      </c>
      <c r="E88" s="2">
        <v>2020</v>
      </c>
      <c r="F88" s="2" t="s">
        <v>364</v>
      </c>
      <c r="G88" s="2" t="s">
        <v>1667</v>
      </c>
      <c r="H88" s="2" t="s">
        <v>1669</v>
      </c>
      <c r="I88" s="1" t="s">
        <v>14</v>
      </c>
      <c r="J88" s="1" t="s">
        <v>478</v>
      </c>
      <c r="L88" s="34"/>
      <c r="M88" s="35"/>
      <c r="N88" s="35"/>
      <c r="O88" s="35"/>
      <c r="P88" s="35"/>
      <c r="Q88" s="35"/>
      <c r="S88" s="14"/>
      <c r="T88" s="35"/>
      <c r="U88" s="35"/>
      <c r="V88" s="60" t="s">
        <v>1735</v>
      </c>
    </row>
    <row r="89" spans="1:22" ht="38.25" x14ac:dyDescent="0.2">
      <c r="A89" s="1" t="s">
        <v>190</v>
      </c>
      <c r="B89" s="2" t="s">
        <v>10</v>
      </c>
      <c r="C89" s="2" t="s">
        <v>191</v>
      </c>
      <c r="D89" s="2" t="s">
        <v>192</v>
      </c>
      <c r="E89" s="2">
        <v>2020</v>
      </c>
      <c r="F89" s="2" t="s">
        <v>388</v>
      </c>
      <c r="G89" s="2" t="s">
        <v>1667</v>
      </c>
      <c r="H89" s="2" t="s">
        <v>1669</v>
      </c>
      <c r="I89" s="1" t="s">
        <v>14</v>
      </c>
      <c r="J89" s="1" t="s">
        <v>890</v>
      </c>
      <c r="L89" s="34"/>
      <c r="M89" s="35"/>
      <c r="N89" s="35"/>
      <c r="O89" s="35"/>
      <c r="P89" s="35"/>
      <c r="Q89" s="35"/>
      <c r="S89" s="35"/>
      <c r="T89" s="35"/>
      <c r="U89" s="35"/>
      <c r="V89" s="60" t="s">
        <v>1735</v>
      </c>
    </row>
    <row r="90" spans="1:22" ht="51" x14ac:dyDescent="0.2">
      <c r="A90" s="1" t="s">
        <v>217</v>
      </c>
      <c r="B90" s="2" t="s">
        <v>218</v>
      </c>
      <c r="C90" s="2" t="s">
        <v>219</v>
      </c>
      <c r="D90" s="2" t="s">
        <v>220</v>
      </c>
      <c r="E90" s="2">
        <v>2020</v>
      </c>
      <c r="F90" s="2" t="s">
        <v>291</v>
      </c>
      <c r="G90" s="2" t="s">
        <v>1667</v>
      </c>
      <c r="H90" s="2" t="s">
        <v>1669</v>
      </c>
      <c r="I90" s="1" t="s">
        <v>14</v>
      </c>
      <c r="J90" s="1" t="s">
        <v>1117</v>
      </c>
      <c r="L90" s="34" t="s">
        <v>1670</v>
      </c>
      <c r="M90" s="35"/>
      <c r="N90" s="35"/>
      <c r="O90" s="35"/>
      <c r="P90" s="35"/>
      <c r="Q90" s="35"/>
      <c r="R90" s="14"/>
      <c r="S90" s="14"/>
      <c r="T90" s="35"/>
      <c r="U90" s="35">
        <f>16+16+45.27</f>
        <v>77.27000000000001</v>
      </c>
      <c r="V90" s="60" t="s">
        <v>1682</v>
      </c>
    </row>
    <row r="91" spans="1:22" ht="38.25" x14ac:dyDescent="0.2">
      <c r="A91" s="1" t="s">
        <v>217</v>
      </c>
      <c r="B91" s="2" t="s">
        <v>218</v>
      </c>
      <c r="C91" s="2" t="s">
        <v>219</v>
      </c>
      <c r="D91" s="2" t="s">
        <v>220</v>
      </c>
      <c r="E91" s="2">
        <v>2020</v>
      </c>
      <c r="F91" s="2" t="s">
        <v>337</v>
      </c>
      <c r="G91" s="2" t="s">
        <v>1667</v>
      </c>
      <c r="H91" s="2" t="s">
        <v>1669</v>
      </c>
      <c r="I91" s="1" t="s">
        <v>14</v>
      </c>
      <c r="J91" s="1" t="s">
        <v>1353</v>
      </c>
      <c r="L91" s="34" t="s">
        <v>1670</v>
      </c>
      <c r="M91" s="35"/>
      <c r="N91" s="35"/>
      <c r="O91" s="35"/>
      <c r="P91" s="35"/>
      <c r="Q91" s="35"/>
      <c r="R91" s="14"/>
      <c r="S91" s="14"/>
      <c r="T91" s="35"/>
      <c r="U91" s="35">
        <f>13.49+23.03</f>
        <v>36.520000000000003</v>
      </c>
      <c r="V91" s="60" t="s">
        <v>1682</v>
      </c>
    </row>
    <row r="92" spans="1:22" ht="51" x14ac:dyDescent="0.2">
      <c r="A92" s="1" t="s">
        <v>465</v>
      </c>
      <c r="B92" s="2" t="s">
        <v>196</v>
      </c>
      <c r="C92" s="2" t="s">
        <v>247</v>
      </c>
      <c r="D92" s="2" t="s">
        <v>67</v>
      </c>
      <c r="E92" s="2">
        <v>2020</v>
      </c>
      <c r="F92" s="2" t="s">
        <v>276</v>
      </c>
      <c r="G92" s="2" t="s">
        <v>1669</v>
      </c>
      <c r="H92" s="2" t="s">
        <v>1668</v>
      </c>
      <c r="I92" s="1" t="s">
        <v>979</v>
      </c>
      <c r="J92" s="1" t="s">
        <v>14</v>
      </c>
      <c r="L92" s="34">
        <v>3.2099999999999997E-2</v>
      </c>
      <c r="M92" s="35"/>
      <c r="N92" s="35"/>
      <c r="O92" s="35"/>
      <c r="P92" s="35"/>
      <c r="Q92" s="35"/>
      <c r="R92" s="14"/>
      <c r="S92" s="14"/>
      <c r="T92" s="35"/>
      <c r="U92" s="35">
        <v>5850.86</v>
      </c>
      <c r="V92" s="60" t="s">
        <v>1699</v>
      </c>
    </row>
    <row r="93" spans="1:22" ht="38.25" x14ac:dyDescent="0.2">
      <c r="A93" s="1" t="s">
        <v>464</v>
      </c>
      <c r="B93" s="2" t="s">
        <v>196</v>
      </c>
      <c r="C93" s="2" t="s">
        <v>324</v>
      </c>
      <c r="D93" s="2" t="s">
        <v>325</v>
      </c>
      <c r="E93" s="2">
        <v>2020</v>
      </c>
      <c r="F93" s="2" t="s">
        <v>311</v>
      </c>
      <c r="G93" s="2" t="s">
        <v>1669</v>
      </c>
      <c r="H93" s="2" t="s">
        <v>1669</v>
      </c>
      <c r="I93" s="1" t="s">
        <v>1290</v>
      </c>
      <c r="J93" s="1" t="s">
        <v>1291</v>
      </c>
      <c r="L93" s="34">
        <v>0.03</v>
      </c>
      <c r="N93" s="14">
        <v>11663</v>
      </c>
      <c r="V93" s="60" t="s">
        <v>1699</v>
      </c>
    </row>
    <row r="94" spans="1:22" ht="102" x14ac:dyDescent="0.2">
      <c r="A94" s="1" t="s">
        <v>382</v>
      </c>
      <c r="B94" s="2" t="s">
        <v>383</v>
      </c>
      <c r="C94" s="2" t="s">
        <v>384</v>
      </c>
      <c r="D94" s="2" t="s">
        <v>115</v>
      </c>
      <c r="E94" s="2">
        <v>2020</v>
      </c>
      <c r="F94" s="2" t="s">
        <v>311</v>
      </c>
      <c r="G94" s="2" t="s">
        <v>1669</v>
      </c>
      <c r="H94" s="2" t="s">
        <v>1669</v>
      </c>
      <c r="I94" s="1" t="s">
        <v>1245</v>
      </c>
      <c r="J94" s="1" t="s">
        <v>1246</v>
      </c>
      <c r="L94" s="34">
        <v>3.44E-2</v>
      </c>
      <c r="M94" s="35"/>
      <c r="N94" s="14">
        <v>93000</v>
      </c>
      <c r="O94" s="35"/>
      <c r="P94" s="35"/>
      <c r="Q94" s="35"/>
      <c r="R94" s="14"/>
      <c r="S94" s="14"/>
      <c r="T94" s="35"/>
      <c r="U94" s="35"/>
      <c r="V94" s="60" t="s">
        <v>1699</v>
      </c>
    </row>
    <row r="95" spans="1:22" ht="38.25" x14ac:dyDescent="0.2">
      <c r="A95" s="1" t="s">
        <v>397</v>
      </c>
      <c r="B95" s="2" t="s">
        <v>10</v>
      </c>
      <c r="C95" s="2" t="s">
        <v>398</v>
      </c>
      <c r="D95" s="2" t="s">
        <v>399</v>
      </c>
      <c r="E95" s="2">
        <v>2020</v>
      </c>
      <c r="F95" s="2" t="s">
        <v>221</v>
      </c>
      <c r="G95" s="2" t="s">
        <v>1667</v>
      </c>
      <c r="H95" s="2" t="s">
        <v>1669</v>
      </c>
      <c r="I95" s="1" t="s">
        <v>14</v>
      </c>
      <c r="J95" s="1" t="s">
        <v>844</v>
      </c>
      <c r="L95" s="34"/>
      <c r="M95" s="35"/>
      <c r="N95" s="35"/>
      <c r="O95" s="35"/>
      <c r="P95" s="35"/>
      <c r="Q95" s="35"/>
      <c r="S95" s="14"/>
      <c r="T95" s="35"/>
      <c r="U95" s="14"/>
      <c r="V95" s="60" t="s">
        <v>1735</v>
      </c>
    </row>
    <row r="96" spans="1:22" ht="38.25" x14ac:dyDescent="0.2">
      <c r="A96" s="1" t="s">
        <v>397</v>
      </c>
      <c r="B96" s="2" t="s">
        <v>10</v>
      </c>
      <c r="C96" s="2" t="s">
        <v>398</v>
      </c>
      <c r="D96" s="2" t="s">
        <v>399</v>
      </c>
      <c r="E96" s="2">
        <v>2020</v>
      </c>
      <c r="F96" s="2" t="s">
        <v>291</v>
      </c>
      <c r="G96" s="2" t="s">
        <v>1667</v>
      </c>
      <c r="H96" s="2" t="s">
        <v>1669</v>
      </c>
      <c r="I96" s="1" t="s">
        <v>14</v>
      </c>
      <c r="J96" s="1" t="s">
        <v>1139</v>
      </c>
      <c r="L96" s="34"/>
      <c r="M96" s="35"/>
      <c r="N96" s="35"/>
      <c r="O96" s="35"/>
      <c r="P96" s="35"/>
      <c r="Q96" s="35"/>
      <c r="S96" s="14"/>
      <c r="T96" s="35"/>
      <c r="U96" s="14"/>
      <c r="V96" s="60" t="s">
        <v>1735</v>
      </c>
    </row>
    <row r="97" spans="1:22" ht="25.5" x14ac:dyDescent="0.2">
      <c r="A97" s="1" t="s">
        <v>144</v>
      </c>
      <c r="B97" s="2" t="s">
        <v>38</v>
      </c>
      <c r="C97" s="2" t="s">
        <v>145</v>
      </c>
      <c r="D97" s="2" t="s">
        <v>146</v>
      </c>
      <c r="E97" s="2">
        <v>2020</v>
      </c>
      <c r="F97" s="2" t="s">
        <v>13</v>
      </c>
      <c r="G97" s="2" t="s">
        <v>1667</v>
      </c>
      <c r="H97" s="2" t="s">
        <v>1669</v>
      </c>
      <c r="I97" s="1" t="s">
        <v>14</v>
      </c>
      <c r="J97" s="1" t="s">
        <v>492</v>
      </c>
      <c r="L97" s="34">
        <v>0.16850000000000001</v>
      </c>
      <c r="M97" s="35"/>
      <c r="N97" s="35"/>
      <c r="O97" s="35">
        <v>119.6</v>
      </c>
      <c r="P97" s="35"/>
      <c r="Q97" s="35"/>
      <c r="R97" s="35"/>
      <c r="S97" s="35"/>
      <c r="T97" s="35"/>
      <c r="U97" s="35"/>
    </row>
    <row r="98" spans="1:22" ht="25.5" x14ac:dyDescent="0.2">
      <c r="A98" s="1" t="s">
        <v>144</v>
      </c>
      <c r="B98" s="2" t="s">
        <v>38</v>
      </c>
      <c r="C98" s="2" t="s">
        <v>145</v>
      </c>
      <c r="D98" s="2" t="s">
        <v>146</v>
      </c>
      <c r="E98" s="2">
        <v>2020</v>
      </c>
      <c r="F98" s="2" t="s">
        <v>188</v>
      </c>
      <c r="G98" s="2" t="s">
        <v>1667</v>
      </c>
      <c r="H98" s="2" t="s">
        <v>1669</v>
      </c>
      <c r="I98" s="1" t="s">
        <v>14</v>
      </c>
      <c r="J98" s="1" t="s">
        <v>608</v>
      </c>
      <c r="L98" s="34">
        <v>0.184</v>
      </c>
      <c r="M98" s="35"/>
      <c r="N98" s="35"/>
      <c r="O98" s="35">
        <v>101.2</v>
      </c>
      <c r="P98" s="35"/>
      <c r="Q98" s="35"/>
      <c r="R98" s="14"/>
      <c r="S98" s="35"/>
      <c r="T98" s="35"/>
      <c r="U98" s="35"/>
    </row>
    <row r="99" spans="1:22" ht="25.5" x14ac:dyDescent="0.2">
      <c r="A99" s="1" t="s">
        <v>144</v>
      </c>
      <c r="B99" s="2" t="s">
        <v>38</v>
      </c>
      <c r="C99" s="2" t="s">
        <v>145</v>
      </c>
      <c r="D99" s="2" t="s">
        <v>146</v>
      </c>
      <c r="E99" s="2">
        <v>2020</v>
      </c>
      <c r="F99" s="2" t="s">
        <v>203</v>
      </c>
      <c r="G99" s="2" t="s">
        <v>1667</v>
      </c>
      <c r="H99" s="2" t="s">
        <v>1669</v>
      </c>
      <c r="I99" s="1" t="s">
        <v>14</v>
      </c>
      <c r="J99" s="1" t="s">
        <v>651</v>
      </c>
      <c r="L99" s="34">
        <v>0.20300000000000001</v>
      </c>
      <c r="M99" s="35"/>
      <c r="N99" s="35"/>
      <c r="O99" s="35">
        <v>92</v>
      </c>
      <c r="P99" s="35"/>
      <c r="Q99" s="35"/>
      <c r="R99" s="14"/>
      <c r="S99" s="35"/>
      <c r="T99" s="35"/>
      <c r="U99" s="35"/>
    </row>
    <row r="100" spans="1:22" ht="25.5" x14ac:dyDescent="0.2">
      <c r="A100" s="1" t="s">
        <v>144</v>
      </c>
      <c r="B100" s="2" t="s">
        <v>38</v>
      </c>
      <c r="C100" s="2" t="s">
        <v>145</v>
      </c>
      <c r="D100" s="2" t="s">
        <v>146</v>
      </c>
      <c r="E100" s="2">
        <v>2020</v>
      </c>
      <c r="F100" s="2" t="s">
        <v>211</v>
      </c>
      <c r="G100" s="2" t="s">
        <v>1667</v>
      </c>
      <c r="H100" s="2" t="s">
        <v>1669</v>
      </c>
      <c r="I100" s="1" t="s">
        <v>14</v>
      </c>
      <c r="J100" s="1" t="s">
        <v>723</v>
      </c>
      <c r="L100" s="34">
        <v>0.17860000000000001</v>
      </c>
      <c r="M100" s="35"/>
      <c r="N100" s="35"/>
      <c r="O100" s="35">
        <v>119.6</v>
      </c>
      <c r="P100" s="35"/>
      <c r="Q100" s="35"/>
      <c r="R100" s="14"/>
      <c r="S100" s="35"/>
      <c r="T100" s="35"/>
      <c r="U100" s="35"/>
    </row>
    <row r="101" spans="1:22" ht="25.5" x14ac:dyDescent="0.2">
      <c r="A101" s="1" t="s">
        <v>144</v>
      </c>
      <c r="B101" s="2" t="s">
        <v>38</v>
      </c>
      <c r="C101" s="2" t="s">
        <v>145</v>
      </c>
      <c r="D101" s="2" t="s">
        <v>146</v>
      </c>
      <c r="E101" s="2">
        <v>2020</v>
      </c>
      <c r="F101" s="2" t="s">
        <v>221</v>
      </c>
      <c r="G101" s="2" t="s">
        <v>1667</v>
      </c>
      <c r="H101" s="2" t="s">
        <v>1669</v>
      </c>
      <c r="I101" s="1" t="s">
        <v>14</v>
      </c>
      <c r="J101" s="1" t="s">
        <v>826</v>
      </c>
      <c r="L101" s="34">
        <v>0.23400000000000001</v>
      </c>
      <c r="M101" s="35"/>
      <c r="N101" s="35"/>
      <c r="O101" s="35">
        <v>101.2</v>
      </c>
      <c r="P101" s="35"/>
      <c r="Q101" s="35"/>
      <c r="R101" s="14"/>
      <c r="S101" s="14"/>
      <c r="T101" s="35"/>
      <c r="U101" s="35"/>
    </row>
    <row r="102" spans="1:22" ht="25.5" x14ac:dyDescent="0.2">
      <c r="A102" s="1" t="s">
        <v>144</v>
      </c>
      <c r="B102" s="2" t="s">
        <v>38</v>
      </c>
      <c r="C102" s="2" t="s">
        <v>145</v>
      </c>
      <c r="D102" s="2" t="s">
        <v>146</v>
      </c>
      <c r="E102" s="2">
        <v>2020</v>
      </c>
      <c r="F102" s="2" t="s">
        <v>256</v>
      </c>
      <c r="G102" s="2" t="s">
        <v>1667</v>
      </c>
      <c r="H102" s="2" t="s">
        <v>1669</v>
      </c>
      <c r="I102" s="1" t="s">
        <v>14</v>
      </c>
      <c r="J102" s="1" t="s">
        <v>925</v>
      </c>
      <c r="L102" s="34">
        <v>0.24049999999999999</v>
      </c>
      <c r="M102" s="35"/>
      <c r="N102" s="35"/>
      <c r="O102" s="35">
        <v>119.6</v>
      </c>
      <c r="P102" s="35"/>
      <c r="Q102" s="35"/>
      <c r="R102" s="14"/>
      <c r="S102" s="14"/>
      <c r="T102" s="35"/>
      <c r="U102" s="35"/>
    </row>
    <row r="103" spans="1:22" ht="25.5" x14ac:dyDescent="0.2">
      <c r="A103" s="1" t="s">
        <v>144</v>
      </c>
      <c r="B103" s="2" t="s">
        <v>38</v>
      </c>
      <c r="C103" s="2" t="s">
        <v>145</v>
      </c>
      <c r="D103" s="2" t="s">
        <v>146</v>
      </c>
      <c r="E103" s="2">
        <v>2020</v>
      </c>
      <c r="F103" s="2" t="s">
        <v>276</v>
      </c>
      <c r="G103" s="2" t="s">
        <v>1667</v>
      </c>
      <c r="H103" s="2" t="s">
        <v>1669</v>
      </c>
      <c r="I103" s="1" t="s">
        <v>14</v>
      </c>
      <c r="J103" s="1" t="s">
        <v>1050</v>
      </c>
      <c r="L103" s="34">
        <v>0.24360000000000001</v>
      </c>
      <c r="M103" s="35"/>
      <c r="N103" s="35"/>
      <c r="O103" s="35">
        <v>156.4</v>
      </c>
      <c r="P103" s="35"/>
      <c r="Q103" s="35"/>
      <c r="R103" s="14"/>
      <c r="S103" s="14"/>
      <c r="T103" s="35"/>
      <c r="U103" s="35"/>
    </row>
    <row r="104" spans="1:22" ht="25.5" x14ac:dyDescent="0.2">
      <c r="A104" s="1" t="s">
        <v>144</v>
      </c>
      <c r="B104" s="2" t="s">
        <v>38</v>
      </c>
      <c r="C104" s="2" t="s">
        <v>145</v>
      </c>
      <c r="D104" s="2" t="s">
        <v>146</v>
      </c>
      <c r="E104" s="2">
        <v>2020</v>
      </c>
      <c r="F104" s="2" t="s">
        <v>291</v>
      </c>
      <c r="G104" s="2" t="s">
        <v>1667</v>
      </c>
      <c r="H104" s="2" t="s">
        <v>1669</v>
      </c>
      <c r="I104" s="1" t="s">
        <v>14</v>
      </c>
      <c r="J104" s="1" t="s">
        <v>1168</v>
      </c>
      <c r="L104" s="34" t="s">
        <v>1670</v>
      </c>
      <c r="M104" s="35"/>
      <c r="N104" s="35"/>
      <c r="O104" s="35">
        <v>184</v>
      </c>
      <c r="P104" s="35"/>
      <c r="Q104" s="35"/>
      <c r="R104" s="14"/>
      <c r="S104" s="14"/>
      <c r="T104" s="35"/>
      <c r="U104" s="35"/>
    </row>
    <row r="105" spans="1:22" ht="25.5" x14ac:dyDescent="0.2">
      <c r="A105" s="1" t="s">
        <v>144</v>
      </c>
      <c r="B105" s="2" t="s">
        <v>38</v>
      </c>
      <c r="C105" s="2" t="s">
        <v>145</v>
      </c>
      <c r="D105" s="2" t="s">
        <v>146</v>
      </c>
      <c r="E105" s="2">
        <v>2020</v>
      </c>
      <c r="F105" s="2" t="s">
        <v>311</v>
      </c>
      <c r="G105" s="2" t="s">
        <v>1667</v>
      </c>
      <c r="H105" s="2" t="s">
        <v>1669</v>
      </c>
      <c r="I105" s="1" t="s">
        <v>14</v>
      </c>
      <c r="J105" s="1" t="s">
        <v>1272</v>
      </c>
      <c r="L105" s="34">
        <v>0.22</v>
      </c>
      <c r="M105" s="35"/>
      <c r="N105" s="35"/>
      <c r="O105" s="35">
        <v>184</v>
      </c>
      <c r="P105" s="35"/>
      <c r="Q105" s="35"/>
      <c r="R105" s="14"/>
      <c r="S105" s="14"/>
      <c r="T105" s="35"/>
      <c r="U105" s="35"/>
    </row>
    <row r="106" spans="1:22" ht="25.5" x14ac:dyDescent="0.2">
      <c r="A106" s="1" t="s">
        <v>144</v>
      </c>
      <c r="B106" s="2" t="s">
        <v>38</v>
      </c>
      <c r="C106" s="2" t="s">
        <v>145</v>
      </c>
      <c r="D106" s="2" t="s">
        <v>146</v>
      </c>
      <c r="E106" s="2">
        <v>2020</v>
      </c>
      <c r="F106" s="2" t="s">
        <v>337</v>
      </c>
      <c r="G106" s="2" t="s">
        <v>1667</v>
      </c>
      <c r="H106" s="2" t="s">
        <v>1669</v>
      </c>
      <c r="I106" s="1" t="s">
        <v>14</v>
      </c>
      <c r="J106" s="1" t="s">
        <v>1422</v>
      </c>
      <c r="L106" s="34">
        <v>0.24274999999999999</v>
      </c>
      <c r="M106" s="35"/>
      <c r="N106" s="35"/>
      <c r="O106" s="35">
        <v>128.80000000000001</v>
      </c>
      <c r="P106" s="35"/>
      <c r="Q106" s="35"/>
      <c r="R106" s="14"/>
      <c r="S106" s="14"/>
      <c r="T106" s="35"/>
      <c r="U106" s="35"/>
    </row>
    <row r="107" spans="1:22" ht="25.5" x14ac:dyDescent="0.2">
      <c r="A107" s="1" t="s">
        <v>144</v>
      </c>
      <c r="B107" s="2" t="s">
        <v>38</v>
      </c>
      <c r="C107" s="2" t="s">
        <v>145</v>
      </c>
      <c r="D107" s="2" t="s">
        <v>146</v>
      </c>
      <c r="E107" s="2">
        <v>2020</v>
      </c>
      <c r="F107" s="2" t="s">
        <v>364</v>
      </c>
      <c r="G107" s="2" t="s">
        <v>1667</v>
      </c>
      <c r="H107" s="2" t="s">
        <v>1669</v>
      </c>
      <c r="I107" s="1" t="s">
        <v>14</v>
      </c>
      <c r="J107" s="1" t="s">
        <v>1571</v>
      </c>
      <c r="L107" s="34">
        <v>0.19850000000000001</v>
      </c>
      <c r="M107" s="35"/>
      <c r="N107" s="35"/>
      <c r="O107" s="35">
        <v>165.6</v>
      </c>
      <c r="P107" s="35"/>
      <c r="Q107" s="35"/>
      <c r="R107" s="14"/>
      <c r="S107" s="14"/>
      <c r="T107" s="35"/>
      <c r="U107" s="35"/>
    </row>
    <row r="108" spans="1:22" ht="25.5" x14ac:dyDescent="0.2">
      <c r="A108" s="1" t="s">
        <v>144</v>
      </c>
      <c r="B108" s="2" t="s">
        <v>38</v>
      </c>
      <c r="C108" s="2" t="s">
        <v>145</v>
      </c>
      <c r="D108" s="2" t="s">
        <v>146</v>
      </c>
      <c r="E108" s="2">
        <v>2020</v>
      </c>
      <c r="F108" s="2" t="s">
        <v>388</v>
      </c>
      <c r="G108" s="2" t="s">
        <v>1667</v>
      </c>
      <c r="H108" s="2" t="s">
        <v>1669</v>
      </c>
      <c r="I108" s="1" t="s">
        <v>14</v>
      </c>
      <c r="J108" s="1" t="s">
        <v>1626</v>
      </c>
      <c r="L108" s="34">
        <v>0.182</v>
      </c>
      <c r="M108" s="35"/>
      <c r="N108" s="35"/>
      <c r="O108" s="35">
        <v>128.80000000000001</v>
      </c>
      <c r="P108" s="35"/>
      <c r="Q108" s="35"/>
      <c r="R108" s="35"/>
      <c r="S108" s="35"/>
      <c r="T108" s="35"/>
      <c r="U108" s="35"/>
    </row>
    <row r="109" spans="1:22" ht="63.75" x14ac:dyDescent="0.2">
      <c r="A109" s="1" t="s">
        <v>178</v>
      </c>
      <c r="B109" s="2" t="s">
        <v>38</v>
      </c>
      <c r="C109" s="2" t="s">
        <v>179</v>
      </c>
      <c r="D109" s="2" t="s">
        <v>173</v>
      </c>
      <c r="E109" s="2">
        <v>2020</v>
      </c>
      <c r="F109" s="2" t="s">
        <v>13</v>
      </c>
      <c r="G109" s="2" t="s">
        <v>1667</v>
      </c>
      <c r="H109" s="2" t="s">
        <v>1669</v>
      </c>
      <c r="I109" s="1" t="s">
        <v>14</v>
      </c>
      <c r="J109" s="1" t="s">
        <v>1679</v>
      </c>
      <c r="L109" s="34"/>
      <c r="M109" s="3"/>
      <c r="O109" s="35"/>
      <c r="P109" s="35"/>
      <c r="R109" s="35"/>
      <c r="S109" s="35"/>
      <c r="T109" s="35"/>
      <c r="U109" s="35"/>
      <c r="V109" s="60" t="s">
        <v>3075</v>
      </c>
    </row>
    <row r="110" spans="1:22" ht="51" x14ac:dyDescent="0.2">
      <c r="A110" s="1" t="s">
        <v>178</v>
      </c>
      <c r="B110" s="2" t="s">
        <v>38</v>
      </c>
      <c r="C110" s="2" t="s">
        <v>179</v>
      </c>
      <c r="D110" s="2" t="s">
        <v>173</v>
      </c>
      <c r="E110" s="2">
        <v>2020</v>
      </c>
      <c r="F110" s="2" t="s">
        <v>188</v>
      </c>
      <c r="G110" s="2" t="s">
        <v>1667</v>
      </c>
      <c r="H110" s="2" t="s">
        <v>1669</v>
      </c>
      <c r="I110" s="1" t="s">
        <v>14</v>
      </c>
      <c r="J110" s="1" t="s">
        <v>561</v>
      </c>
      <c r="L110" s="34"/>
      <c r="M110" s="3"/>
      <c r="O110" s="35"/>
      <c r="P110" s="35"/>
      <c r="R110" s="35"/>
      <c r="S110" s="35"/>
      <c r="T110" s="35"/>
      <c r="V110" s="60" t="s">
        <v>3075</v>
      </c>
    </row>
    <row r="111" spans="1:22" ht="114.75" x14ac:dyDescent="0.2">
      <c r="A111" s="1" t="s">
        <v>178</v>
      </c>
      <c r="B111" s="2" t="s">
        <v>38</v>
      </c>
      <c r="C111" s="2" t="s">
        <v>179</v>
      </c>
      <c r="D111" s="2" t="s">
        <v>173</v>
      </c>
      <c r="E111" s="2">
        <v>2020</v>
      </c>
      <c r="F111" s="2" t="s">
        <v>203</v>
      </c>
      <c r="G111" s="2" t="s">
        <v>1667</v>
      </c>
      <c r="H111" s="2" t="s">
        <v>1669</v>
      </c>
      <c r="I111" s="1" t="s">
        <v>14</v>
      </c>
      <c r="J111" s="1" t="s">
        <v>679</v>
      </c>
      <c r="L111" s="34"/>
      <c r="M111" s="3"/>
      <c r="O111" s="35"/>
      <c r="P111" s="35"/>
      <c r="R111" s="14"/>
      <c r="S111" s="35"/>
      <c r="T111" s="35"/>
      <c r="U111" s="35"/>
      <c r="V111" s="60" t="s">
        <v>3075</v>
      </c>
    </row>
    <row r="112" spans="1:22" ht="102" x14ac:dyDescent="0.2">
      <c r="A112" s="1" t="s">
        <v>178</v>
      </c>
      <c r="B112" s="2" t="s">
        <v>38</v>
      </c>
      <c r="C112" s="2" t="s">
        <v>179</v>
      </c>
      <c r="D112" s="2" t="s">
        <v>173</v>
      </c>
      <c r="E112" s="2">
        <v>2020</v>
      </c>
      <c r="F112" s="2" t="s">
        <v>211</v>
      </c>
      <c r="G112" s="2" t="s">
        <v>1667</v>
      </c>
      <c r="H112" s="2" t="s">
        <v>1669</v>
      </c>
      <c r="I112" s="1" t="s">
        <v>14</v>
      </c>
      <c r="J112" s="1" t="s">
        <v>694</v>
      </c>
      <c r="L112" s="34"/>
      <c r="M112" s="3"/>
      <c r="O112" s="35"/>
      <c r="P112" s="35"/>
      <c r="Q112" s="35"/>
      <c r="R112" s="14"/>
      <c r="S112" s="35"/>
      <c r="T112" s="35"/>
      <c r="U112" s="35"/>
      <c r="V112" s="60" t="s">
        <v>3075</v>
      </c>
    </row>
    <row r="113" spans="1:22" ht="76.5" x14ac:dyDescent="0.2">
      <c r="A113" s="1" t="s">
        <v>178</v>
      </c>
      <c r="B113" s="2" t="s">
        <v>38</v>
      </c>
      <c r="C113" s="2" t="s">
        <v>179</v>
      </c>
      <c r="D113" s="2" t="s">
        <v>173</v>
      </c>
      <c r="E113" s="2">
        <v>2020</v>
      </c>
      <c r="F113" s="2" t="s">
        <v>221</v>
      </c>
      <c r="G113" s="2" t="s">
        <v>1667</v>
      </c>
      <c r="H113" s="2" t="s">
        <v>1669</v>
      </c>
      <c r="I113" s="1" t="s">
        <v>14</v>
      </c>
      <c r="J113" s="1" t="s">
        <v>862</v>
      </c>
      <c r="L113" s="34"/>
      <c r="M113" s="3"/>
      <c r="O113" s="35"/>
      <c r="P113" s="35"/>
      <c r="Q113" s="35"/>
      <c r="R113" s="14"/>
      <c r="S113" s="14"/>
      <c r="T113" s="35"/>
      <c r="U113" s="35"/>
      <c r="V113" s="60" t="s">
        <v>3075</v>
      </c>
    </row>
    <row r="114" spans="1:22" ht="63.75" x14ac:dyDescent="0.2">
      <c r="A114" s="1" t="s">
        <v>178</v>
      </c>
      <c r="B114" s="2" t="s">
        <v>38</v>
      </c>
      <c r="C114" s="2" t="s">
        <v>179</v>
      </c>
      <c r="D114" s="2" t="s">
        <v>173</v>
      </c>
      <c r="E114" s="2">
        <v>2020</v>
      </c>
      <c r="F114" s="2" t="s">
        <v>256</v>
      </c>
      <c r="G114" s="2" t="s">
        <v>1667</v>
      </c>
      <c r="H114" s="2" t="s">
        <v>1669</v>
      </c>
      <c r="I114" s="1" t="s">
        <v>14</v>
      </c>
      <c r="J114" s="1" t="s">
        <v>891</v>
      </c>
      <c r="L114" s="34"/>
      <c r="M114" s="3"/>
      <c r="O114" s="35"/>
      <c r="P114" s="35"/>
      <c r="Q114" s="35"/>
      <c r="R114" s="14"/>
      <c r="S114" s="14"/>
      <c r="T114" s="35"/>
      <c r="U114" s="35"/>
      <c r="V114" s="60" t="s">
        <v>3075</v>
      </c>
    </row>
    <row r="115" spans="1:22" ht="114.75" x14ac:dyDescent="0.2">
      <c r="A115" s="1" t="s">
        <v>178</v>
      </c>
      <c r="B115" s="2" t="s">
        <v>38</v>
      </c>
      <c r="C115" s="2" t="s">
        <v>179</v>
      </c>
      <c r="D115" s="2" t="s">
        <v>173</v>
      </c>
      <c r="E115" s="2">
        <v>2020</v>
      </c>
      <c r="F115" s="2" t="s">
        <v>276</v>
      </c>
      <c r="G115" s="2" t="s">
        <v>1667</v>
      </c>
      <c r="H115" s="2" t="s">
        <v>1669</v>
      </c>
      <c r="I115" s="1" t="s">
        <v>14</v>
      </c>
      <c r="J115" s="1" t="s">
        <v>980</v>
      </c>
      <c r="L115" s="34"/>
      <c r="M115" s="3"/>
      <c r="O115" s="35"/>
      <c r="P115" s="35"/>
      <c r="Q115" s="35"/>
      <c r="R115" s="14"/>
      <c r="S115" s="14"/>
      <c r="T115" s="35"/>
      <c r="U115" s="35"/>
      <c r="V115" s="60" t="s">
        <v>3075</v>
      </c>
    </row>
    <row r="116" spans="1:22" ht="76.5" x14ac:dyDescent="0.2">
      <c r="A116" s="1" t="s">
        <v>178</v>
      </c>
      <c r="B116" s="2" t="s">
        <v>38</v>
      </c>
      <c r="C116" s="2" t="s">
        <v>179</v>
      </c>
      <c r="D116" s="2" t="s">
        <v>173</v>
      </c>
      <c r="E116" s="2">
        <v>2020</v>
      </c>
      <c r="F116" s="2" t="s">
        <v>291</v>
      </c>
      <c r="G116" s="2" t="s">
        <v>1667</v>
      </c>
      <c r="H116" s="2" t="s">
        <v>1669</v>
      </c>
      <c r="I116" s="1" t="s">
        <v>14</v>
      </c>
      <c r="J116" s="1" t="s">
        <v>1098</v>
      </c>
      <c r="L116" s="34"/>
      <c r="M116" s="3"/>
      <c r="O116" s="35"/>
      <c r="P116" s="35"/>
      <c r="Q116" s="35"/>
      <c r="R116" s="14"/>
      <c r="S116" s="14"/>
      <c r="T116" s="35"/>
      <c r="U116" s="35"/>
      <c r="V116" s="60" t="s">
        <v>3075</v>
      </c>
    </row>
    <row r="117" spans="1:22" ht="76.5" x14ac:dyDescent="0.2">
      <c r="A117" s="1" t="s">
        <v>178</v>
      </c>
      <c r="B117" s="2" t="s">
        <v>38</v>
      </c>
      <c r="C117" s="2" t="s">
        <v>179</v>
      </c>
      <c r="D117" s="2" t="s">
        <v>173</v>
      </c>
      <c r="E117" s="2">
        <v>2020</v>
      </c>
      <c r="F117" s="2" t="s">
        <v>311</v>
      </c>
      <c r="G117" s="2" t="s">
        <v>1667</v>
      </c>
      <c r="H117" s="2" t="s">
        <v>1669</v>
      </c>
      <c r="I117" s="1" t="s">
        <v>14</v>
      </c>
      <c r="J117" s="1" t="s">
        <v>1326</v>
      </c>
      <c r="L117" s="34"/>
      <c r="M117" s="3"/>
      <c r="O117" s="35"/>
      <c r="P117" s="35"/>
      <c r="Q117" s="35"/>
      <c r="R117" s="14"/>
      <c r="S117" s="14"/>
      <c r="T117" s="35"/>
      <c r="U117" s="35"/>
      <c r="V117" s="60" t="s">
        <v>3075</v>
      </c>
    </row>
    <row r="118" spans="1:22" ht="51" x14ac:dyDescent="0.2">
      <c r="A118" s="1" t="s">
        <v>178</v>
      </c>
      <c r="B118" s="2" t="s">
        <v>38</v>
      </c>
      <c r="C118" s="2" t="s">
        <v>179</v>
      </c>
      <c r="D118" s="2" t="s">
        <v>173</v>
      </c>
      <c r="E118" s="2">
        <v>2020</v>
      </c>
      <c r="F118" s="2" t="s">
        <v>337</v>
      </c>
      <c r="G118" s="2" t="s">
        <v>1667</v>
      </c>
      <c r="H118" s="2" t="s">
        <v>1669</v>
      </c>
      <c r="I118" s="1" t="s">
        <v>14</v>
      </c>
      <c r="J118" s="1" t="s">
        <v>1393</v>
      </c>
      <c r="L118" s="34"/>
      <c r="M118" s="3"/>
      <c r="O118" s="35"/>
      <c r="P118" s="35"/>
      <c r="Q118" s="35"/>
      <c r="R118" s="14"/>
      <c r="S118" s="14"/>
      <c r="T118" s="35"/>
      <c r="U118" s="35"/>
      <c r="V118" s="60" t="s">
        <v>3075</v>
      </c>
    </row>
    <row r="119" spans="1:22" ht="51" x14ac:dyDescent="0.2">
      <c r="A119" s="1" t="s">
        <v>178</v>
      </c>
      <c r="B119" s="2" t="s">
        <v>38</v>
      </c>
      <c r="C119" s="2" t="s">
        <v>179</v>
      </c>
      <c r="D119" s="2" t="s">
        <v>173</v>
      </c>
      <c r="E119" s="2">
        <v>2020</v>
      </c>
      <c r="F119" s="2" t="s">
        <v>364</v>
      </c>
      <c r="G119" s="2" t="s">
        <v>1667</v>
      </c>
      <c r="H119" s="2" t="s">
        <v>1669</v>
      </c>
      <c r="I119" s="1" t="s">
        <v>14</v>
      </c>
      <c r="J119" s="1" t="s">
        <v>1592</v>
      </c>
      <c r="L119" s="34"/>
      <c r="M119" s="3"/>
      <c r="O119" s="35"/>
      <c r="P119" s="35"/>
      <c r="Q119" s="35"/>
      <c r="R119" s="14"/>
      <c r="S119" s="14"/>
      <c r="T119" s="35"/>
      <c r="U119" s="35"/>
      <c r="V119" s="60" t="s">
        <v>3075</v>
      </c>
    </row>
    <row r="120" spans="1:22" ht="51" x14ac:dyDescent="0.2">
      <c r="A120" s="1" t="s">
        <v>178</v>
      </c>
      <c r="B120" s="2" t="s">
        <v>38</v>
      </c>
      <c r="C120" s="2" t="s">
        <v>179</v>
      </c>
      <c r="D120" s="2" t="s">
        <v>173</v>
      </c>
      <c r="E120" s="2">
        <v>2020</v>
      </c>
      <c r="F120" s="2" t="s">
        <v>388</v>
      </c>
      <c r="G120" s="2" t="s">
        <v>1667</v>
      </c>
      <c r="H120" s="2" t="s">
        <v>1669</v>
      </c>
      <c r="I120" s="1" t="s">
        <v>14</v>
      </c>
      <c r="J120" s="1" t="s">
        <v>1665</v>
      </c>
      <c r="L120" s="34"/>
      <c r="M120" s="3"/>
      <c r="O120" s="35"/>
      <c r="P120" s="35"/>
      <c r="Q120" s="35"/>
      <c r="R120" s="35"/>
      <c r="S120" s="35"/>
      <c r="T120" s="35"/>
      <c r="U120" s="35"/>
      <c r="V120" s="60" t="s">
        <v>3075</v>
      </c>
    </row>
    <row r="121" spans="1:22" ht="38.25" x14ac:dyDescent="0.2">
      <c r="A121" s="1" t="s">
        <v>125</v>
      </c>
      <c r="B121" s="2" t="s">
        <v>10</v>
      </c>
      <c r="C121" s="2" t="s">
        <v>126</v>
      </c>
      <c r="D121" s="2" t="s">
        <v>124</v>
      </c>
      <c r="E121" s="2">
        <v>2020</v>
      </c>
      <c r="F121" s="2" t="s">
        <v>13</v>
      </c>
      <c r="G121" s="2" t="s">
        <v>1667</v>
      </c>
      <c r="H121" s="2" t="s">
        <v>1669</v>
      </c>
      <c r="I121" s="1" t="s">
        <v>14</v>
      </c>
      <c r="J121" s="1" t="s">
        <v>532</v>
      </c>
      <c r="L121" s="34"/>
      <c r="M121" s="35"/>
      <c r="N121" s="35"/>
      <c r="O121" s="35"/>
      <c r="P121" s="35"/>
      <c r="Q121" s="35"/>
      <c r="R121" s="35"/>
      <c r="S121" s="35"/>
      <c r="U121" s="35"/>
      <c r="V121" s="60" t="s">
        <v>1735</v>
      </c>
    </row>
    <row r="122" spans="1:22" ht="38.25" x14ac:dyDescent="0.2">
      <c r="A122" s="1" t="s">
        <v>125</v>
      </c>
      <c r="B122" s="2" t="s">
        <v>10</v>
      </c>
      <c r="C122" s="2" t="s">
        <v>126</v>
      </c>
      <c r="D122" s="2" t="s">
        <v>124</v>
      </c>
      <c r="E122" s="2">
        <v>2020</v>
      </c>
      <c r="F122" s="2" t="s">
        <v>188</v>
      </c>
      <c r="G122" s="2" t="s">
        <v>1667</v>
      </c>
      <c r="H122" s="2" t="s">
        <v>1669</v>
      </c>
      <c r="I122" s="1" t="s">
        <v>14</v>
      </c>
      <c r="J122" s="1" t="s">
        <v>600</v>
      </c>
      <c r="L122" s="34"/>
      <c r="M122" s="35"/>
      <c r="N122" s="35"/>
      <c r="O122" s="35"/>
      <c r="P122" s="35"/>
      <c r="Q122" s="35"/>
      <c r="R122" s="35"/>
      <c r="S122" s="35"/>
      <c r="U122" s="35"/>
      <c r="V122" s="60" t="s">
        <v>1735</v>
      </c>
    </row>
    <row r="123" spans="1:22" ht="38.25" x14ac:dyDescent="0.2">
      <c r="A123" s="1" t="s">
        <v>125</v>
      </c>
      <c r="B123" s="2" t="s">
        <v>10</v>
      </c>
      <c r="C123" s="2" t="s">
        <v>126</v>
      </c>
      <c r="D123" s="2" t="s">
        <v>124</v>
      </c>
      <c r="E123" s="2">
        <v>2020</v>
      </c>
      <c r="F123" s="2" t="s">
        <v>203</v>
      </c>
      <c r="G123" s="2" t="s">
        <v>1667</v>
      </c>
      <c r="H123" s="2" t="s">
        <v>1669</v>
      </c>
      <c r="I123" s="1" t="s">
        <v>14</v>
      </c>
      <c r="J123" s="1" t="s">
        <v>678</v>
      </c>
      <c r="L123" s="34"/>
      <c r="M123" s="35"/>
      <c r="N123" s="35"/>
      <c r="O123" s="35"/>
      <c r="P123" s="35"/>
      <c r="Q123" s="35"/>
      <c r="R123" s="35"/>
      <c r="S123" s="35"/>
      <c r="U123" s="35"/>
      <c r="V123" s="60" t="s">
        <v>1735</v>
      </c>
    </row>
    <row r="124" spans="1:22" ht="38.25" x14ac:dyDescent="0.2">
      <c r="A124" s="1" t="s">
        <v>125</v>
      </c>
      <c r="B124" s="2" t="s">
        <v>10</v>
      </c>
      <c r="C124" s="2" t="s">
        <v>126</v>
      </c>
      <c r="D124" s="2" t="s">
        <v>124</v>
      </c>
      <c r="E124" s="2">
        <v>2020</v>
      </c>
      <c r="F124" s="2" t="s">
        <v>211</v>
      </c>
      <c r="G124" s="2" t="s">
        <v>1667</v>
      </c>
      <c r="H124" s="2" t="s">
        <v>1669</v>
      </c>
      <c r="I124" s="1" t="s">
        <v>14</v>
      </c>
      <c r="J124" s="1" t="s">
        <v>696</v>
      </c>
      <c r="L124" s="34"/>
      <c r="M124" s="35"/>
      <c r="N124" s="35"/>
      <c r="O124" s="35"/>
      <c r="P124" s="35"/>
      <c r="Q124" s="35"/>
      <c r="R124" s="35"/>
      <c r="S124" s="35"/>
      <c r="U124" s="35"/>
      <c r="V124" s="60" t="s">
        <v>1735</v>
      </c>
    </row>
    <row r="125" spans="1:22" ht="38.25" x14ac:dyDescent="0.2">
      <c r="A125" s="1" t="s">
        <v>125</v>
      </c>
      <c r="B125" s="2" t="s">
        <v>10</v>
      </c>
      <c r="C125" s="2" t="s">
        <v>126</v>
      </c>
      <c r="D125" s="2" t="s">
        <v>124</v>
      </c>
      <c r="E125" s="2">
        <v>2020</v>
      </c>
      <c r="F125" s="2" t="s">
        <v>221</v>
      </c>
      <c r="G125" s="2" t="s">
        <v>1667</v>
      </c>
      <c r="H125" s="2" t="s">
        <v>1669</v>
      </c>
      <c r="I125" s="1" t="s">
        <v>14</v>
      </c>
      <c r="J125" s="1" t="s">
        <v>858</v>
      </c>
      <c r="L125" s="34"/>
      <c r="M125" s="35"/>
      <c r="N125" s="35"/>
      <c r="O125" s="35"/>
      <c r="P125" s="35"/>
      <c r="Q125" s="35"/>
      <c r="R125" s="35"/>
      <c r="S125" s="14"/>
      <c r="U125" s="35"/>
      <c r="V125" s="60" t="s">
        <v>1735</v>
      </c>
    </row>
    <row r="126" spans="1:22" ht="38.25" x14ac:dyDescent="0.2">
      <c r="A126" s="1" t="s">
        <v>125</v>
      </c>
      <c r="B126" s="2" t="s">
        <v>10</v>
      </c>
      <c r="C126" s="2" t="s">
        <v>126</v>
      </c>
      <c r="D126" s="2" t="s">
        <v>124</v>
      </c>
      <c r="E126" s="2">
        <v>2020</v>
      </c>
      <c r="F126" s="2" t="s">
        <v>256</v>
      </c>
      <c r="G126" s="2" t="s">
        <v>1667</v>
      </c>
      <c r="H126" s="2" t="s">
        <v>1669</v>
      </c>
      <c r="I126" s="1" t="s">
        <v>14</v>
      </c>
      <c r="J126" s="1" t="s">
        <v>882</v>
      </c>
      <c r="L126" s="34"/>
      <c r="M126" s="35"/>
      <c r="N126" s="35"/>
      <c r="O126" s="35"/>
      <c r="P126" s="35"/>
      <c r="Q126" s="35"/>
      <c r="R126" s="40"/>
      <c r="S126" s="14"/>
      <c r="U126" s="35"/>
      <c r="V126" s="60" t="s">
        <v>1735</v>
      </c>
    </row>
    <row r="127" spans="1:22" ht="38.25" x14ac:dyDescent="0.2">
      <c r="A127" s="1" t="s">
        <v>125</v>
      </c>
      <c r="B127" s="2" t="s">
        <v>10</v>
      </c>
      <c r="C127" s="2" t="s">
        <v>126</v>
      </c>
      <c r="D127" s="2" t="s">
        <v>124</v>
      </c>
      <c r="E127" s="2">
        <v>2020</v>
      </c>
      <c r="F127" s="2" t="s">
        <v>276</v>
      </c>
      <c r="G127" s="2" t="s">
        <v>1667</v>
      </c>
      <c r="H127" s="2" t="s">
        <v>1669</v>
      </c>
      <c r="I127" s="1" t="s">
        <v>14</v>
      </c>
      <c r="J127" s="1" t="s">
        <v>1066</v>
      </c>
      <c r="L127" s="34"/>
      <c r="M127" s="35"/>
      <c r="N127" s="35"/>
      <c r="O127" s="35"/>
      <c r="P127" s="35"/>
      <c r="Q127" s="35"/>
      <c r="R127" s="35"/>
      <c r="S127" s="14"/>
      <c r="U127" s="35"/>
      <c r="V127" s="60" t="s">
        <v>1735</v>
      </c>
    </row>
    <row r="128" spans="1:22" ht="38.25" x14ac:dyDescent="0.2">
      <c r="A128" s="1" t="s">
        <v>125</v>
      </c>
      <c r="B128" s="2" t="s">
        <v>10</v>
      </c>
      <c r="C128" s="2" t="s">
        <v>126</v>
      </c>
      <c r="D128" s="2" t="s">
        <v>124</v>
      </c>
      <c r="E128" s="2">
        <v>2020</v>
      </c>
      <c r="F128" s="2" t="s">
        <v>291</v>
      </c>
      <c r="G128" s="2" t="s">
        <v>1667</v>
      </c>
      <c r="H128" s="2" t="s">
        <v>1669</v>
      </c>
      <c r="I128" s="1" t="s">
        <v>14</v>
      </c>
      <c r="J128" s="1" t="s">
        <v>1104</v>
      </c>
      <c r="L128" s="34"/>
      <c r="M128" s="35"/>
      <c r="N128" s="35"/>
      <c r="O128" s="35"/>
      <c r="P128" s="35"/>
      <c r="Q128" s="35"/>
      <c r="R128" s="35"/>
      <c r="S128" s="14"/>
      <c r="U128" s="35"/>
      <c r="V128" s="60" t="s">
        <v>1735</v>
      </c>
    </row>
    <row r="129" spans="1:22" ht="38.25" x14ac:dyDescent="0.2">
      <c r="A129" s="1" t="s">
        <v>125</v>
      </c>
      <c r="B129" s="2" t="s">
        <v>10</v>
      </c>
      <c r="C129" s="2" t="s">
        <v>126</v>
      </c>
      <c r="D129" s="2" t="s">
        <v>124</v>
      </c>
      <c r="E129" s="2">
        <v>2020</v>
      </c>
      <c r="F129" s="2" t="s">
        <v>311</v>
      </c>
      <c r="G129" s="2" t="s">
        <v>1667</v>
      </c>
      <c r="H129" s="2" t="s">
        <v>1669</v>
      </c>
      <c r="I129" s="1" t="s">
        <v>14</v>
      </c>
      <c r="J129" s="1" t="s">
        <v>1325</v>
      </c>
      <c r="L129" s="34"/>
      <c r="M129" s="35"/>
      <c r="N129" s="35"/>
      <c r="O129" s="35"/>
      <c r="P129" s="35"/>
      <c r="Q129" s="35"/>
      <c r="R129" s="35"/>
      <c r="S129" s="14"/>
      <c r="U129" s="35"/>
      <c r="V129" s="60" t="s">
        <v>1735</v>
      </c>
    </row>
    <row r="130" spans="1:22" ht="38.25" x14ac:dyDescent="0.2">
      <c r="A130" s="1" t="s">
        <v>125</v>
      </c>
      <c r="B130" s="2" t="s">
        <v>10</v>
      </c>
      <c r="C130" s="2" t="s">
        <v>126</v>
      </c>
      <c r="D130" s="2" t="s">
        <v>124</v>
      </c>
      <c r="E130" s="2">
        <v>2020</v>
      </c>
      <c r="F130" s="2" t="s">
        <v>337</v>
      </c>
      <c r="G130" s="2" t="s">
        <v>1667</v>
      </c>
      <c r="H130" s="2" t="s">
        <v>1669</v>
      </c>
      <c r="I130" s="1" t="s">
        <v>14</v>
      </c>
      <c r="J130" s="1" t="s">
        <v>1399</v>
      </c>
      <c r="L130" s="34"/>
      <c r="M130" s="35"/>
      <c r="N130" s="35"/>
      <c r="O130" s="35"/>
      <c r="P130" s="35"/>
      <c r="Q130" s="35"/>
      <c r="R130" s="35"/>
      <c r="S130" s="14"/>
      <c r="U130" s="35"/>
      <c r="V130" s="60" t="s">
        <v>1735</v>
      </c>
    </row>
    <row r="131" spans="1:22" ht="38.25" x14ac:dyDescent="0.2">
      <c r="A131" s="1" t="s">
        <v>125</v>
      </c>
      <c r="B131" s="2" t="s">
        <v>10</v>
      </c>
      <c r="C131" s="2" t="s">
        <v>126</v>
      </c>
      <c r="D131" s="2" t="s">
        <v>124</v>
      </c>
      <c r="E131" s="2">
        <v>2020</v>
      </c>
      <c r="F131" s="2" t="s">
        <v>364</v>
      </c>
      <c r="G131" s="2" t="s">
        <v>1667</v>
      </c>
      <c r="H131" s="2" t="s">
        <v>1669</v>
      </c>
      <c r="I131" s="1" t="s">
        <v>14</v>
      </c>
      <c r="J131" s="1" t="s">
        <v>1507</v>
      </c>
      <c r="L131" s="34"/>
      <c r="M131" s="35"/>
      <c r="N131" s="35"/>
      <c r="O131" s="35"/>
      <c r="P131" s="35"/>
      <c r="Q131" s="35"/>
      <c r="R131" s="35"/>
      <c r="S131" s="14"/>
      <c r="U131" s="35"/>
      <c r="V131" s="60" t="s">
        <v>1735</v>
      </c>
    </row>
    <row r="132" spans="1:22" ht="38.25" x14ac:dyDescent="0.2">
      <c r="A132" s="1" t="s">
        <v>125</v>
      </c>
      <c r="B132" s="2" t="s">
        <v>10</v>
      </c>
      <c r="C132" s="2" t="s">
        <v>126</v>
      </c>
      <c r="D132" s="2" t="s">
        <v>124</v>
      </c>
      <c r="E132" s="2">
        <v>2020</v>
      </c>
      <c r="F132" s="2" t="s">
        <v>388</v>
      </c>
      <c r="G132" s="2" t="s">
        <v>1667</v>
      </c>
      <c r="H132" s="2" t="s">
        <v>1669</v>
      </c>
      <c r="I132" s="1" t="s">
        <v>14</v>
      </c>
      <c r="J132" s="1" t="s">
        <v>1664</v>
      </c>
      <c r="L132" s="34"/>
      <c r="M132" s="35"/>
      <c r="N132" s="35"/>
      <c r="O132" s="35"/>
      <c r="P132" s="35"/>
      <c r="Q132" s="35"/>
      <c r="R132" s="35"/>
      <c r="S132" s="35"/>
      <c r="U132" s="35"/>
      <c r="V132" s="60" t="s">
        <v>1735</v>
      </c>
    </row>
    <row r="133" spans="1:22" ht="114.75" x14ac:dyDescent="0.2">
      <c r="A133" s="1" t="s">
        <v>426</v>
      </c>
      <c r="B133" s="2" t="s">
        <v>196</v>
      </c>
      <c r="C133" s="2" t="s">
        <v>427</v>
      </c>
      <c r="D133" s="2" t="s">
        <v>192</v>
      </c>
      <c r="E133" s="2">
        <v>2020</v>
      </c>
      <c r="F133" s="2" t="s">
        <v>256</v>
      </c>
      <c r="G133" s="2" t="s">
        <v>1669</v>
      </c>
      <c r="H133" s="2" t="s">
        <v>1668</v>
      </c>
      <c r="I133" s="1" t="s">
        <v>898</v>
      </c>
      <c r="J133" s="1" t="s">
        <v>14</v>
      </c>
      <c r="L133" s="5"/>
      <c r="M133" s="35"/>
      <c r="N133" s="35"/>
      <c r="O133" s="35"/>
      <c r="P133" s="35"/>
      <c r="Q133" s="35"/>
      <c r="R133" s="6"/>
      <c r="S133" s="6"/>
      <c r="T133" s="35"/>
      <c r="U133" s="35"/>
      <c r="V133" s="60" t="s">
        <v>1700</v>
      </c>
    </row>
    <row r="134" spans="1:22" ht="47.25" customHeight="1" x14ac:dyDescent="0.2">
      <c r="A134" s="1" t="s">
        <v>165</v>
      </c>
      <c r="B134" s="2" t="s">
        <v>38</v>
      </c>
      <c r="C134" s="2" t="s">
        <v>166</v>
      </c>
      <c r="D134" s="2" t="s">
        <v>167</v>
      </c>
      <c r="E134" s="2">
        <v>2020</v>
      </c>
      <c r="F134" s="2" t="s">
        <v>211</v>
      </c>
      <c r="G134" s="2" t="s">
        <v>1667</v>
      </c>
      <c r="H134" s="2" t="s">
        <v>1669</v>
      </c>
      <c r="I134" s="1" t="s">
        <v>14</v>
      </c>
      <c r="J134" s="1" t="s">
        <v>715</v>
      </c>
      <c r="L134" s="5">
        <v>0.22700000000000001</v>
      </c>
      <c r="M134" s="35"/>
      <c r="N134" s="35"/>
      <c r="O134" s="35"/>
      <c r="P134" s="35"/>
      <c r="Q134" s="35">
        <f>47.6*0.8</f>
        <v>38.080000000000005</v>
      </c>
      <c r="R134" s="6"/>
      <c r="S134" s="35"/>
      <c r="T134" s="35"/>
      <c r="U134" s="35"/>
      <c r="V134" s="60" t="s">
        <v>1680</v>
      </c>
    </row>
    <row r="135" spans="1:22" ht="38.25" x14ac:dyDescent="0.2">
      <c r="A135" s="1" t="s">
        <v>165</v>
      </c>
      <c r="B135" s="2" t="s">
        <v>38</v>
      </c>
      <c r="C135" s="2" t="s">
        <v>166</v>
      </c>
      <c r="D135" s="2" t="s">
        <v>167</v>
      </c>
      <c r="E135" s="2">
        <v>2020</v>
      </c>
      <c r="F135" s="2" t="s">
        <v>221</v>
      </c>
      <c r="G135" s="2" t="s">
        <v>1667</v>
      </c>
      <c r="H135" s="2" t="s">
        <v>1669</v>
      </c>
      <c r="I135" s="1" t="s">
        <v>14</v>
      </c>
      <c r="J135" s="1" t="s">
        <v>852</v>
      </c>
      <c r="L135" s="34">
        <v>0.24</v>
      </c>
      <c r="M135" s="35"/>
      <c r="N135" s="35"/>
      <c r="O135" s="35"/>
      <c r="P135" s="35"/>
      <c r="Q135" s="35">
        <f>149*0.8</f>
        <v>119.2</v>
      </c>
      <c r="R135" s="14"/>
      <c r="S135" s="14"/>
      <c r="T135" s="35"/>
      <c r="U135" s="35"/>
      <c r="V135" s="60" t="s">
        <v>1680</v>
      </c>
    </row>
    <row r="136" spans="1:22" ht="38.25" x14ac:dyDescent="0.2">
      <c r="A136" s="1" t="s">
        <v>165</v>
      </c>
      <c r="B136" s="2" t="s">
        <v>38</v>
      </c>
      <c r="C136" s="2" t="s">
        <v>166</v>
      </c>
      <c r="D136" s="2" t="s">
        <v>167</v>
      </c>
      <c r="E136" s="2">
        <v>2020</v>
      </c>
      <c r="F136" s="2" t="s">
        <v>256</v>
      </c>
      <c r="G136" s="2" t="s">
        <v>1667</v>
      </c>
      <c r="H136" s="2" t="s">
        <v>1669</v>
      </c>
      <c r="I136" s="1" t="s">
        <v>14</v>
      </c>
      <c r="J136" s="1" t="s">
        <v>905</v>
      </c>
      <c r="L136" s="34">
        <v>0.26200000000000001</v>
      </c>
      <c r="M136" s="35"/>
      <c r="N136" s="35"/>
      <c r="O136" s="35"/>
      <c r="P136" s="35"/>
      <c r="Q136" s="35">
        <f>101*0.8</f>
        <v>80.800000000000011</v>
      </c>
      <c r="R136" s="14"/>
      <c r="S136" s="14"/>
      <c r="T136" s="35"/>
      <c r="U136" s="35"/>
      <c r="V136" s="60" t="s">
        <v>1680</v>
      </c>
    </row>
    <row r="137" spans="1:22" ht="38.25" x14ac:dyDescent="0.2">
      <c r="A137" s="1" t="s">
        <v>165</v>
      </c>
      <c r="B137" s="2" t="s">
        <v>38</v>
      </c>
      <c r="C137" s="2" t="s">
        <v>166</v>
      </c>
      <c r="D137" s="2" t="s">
        <v>167</v>
      </c>
      <c r="E137" s="2">
        <v>2020</v>
      </c>
      <c r="F137" s="2" t="s">
        <v>276</v>
      </c>
      <c r="G137" s="2" t="s">
        <v>1667</v>
      </c>
      <c r="H137" s="2" t="s">
        <v>1669</v>
      </c>
      <c r="I137" s="1" t="s">
        <v>14</v>
      </c>
      <c r="J137" s="1" t="s">
        <v>1036</v>
      </c>
      <c r="L137" s="34">
        <v>0.255</v>
      </c>
      <c r="M137" s="35"/>
      <c r="N137" s="35"/>
      <c r="O137" s="35"/>
      <c r="P137" s="35"/>
      <c r="Q137" s="35">
        <f>12.3*0.8</f>
        <v>9.8400000000000016</v>
      </c>
      <c r="R137" s="14"/>
      <c r="S137" s="14"/>
      <c r="T137" s="35"/>
      <c r="U137" s="35"/>
      <c r="V137" s="60" t="s">
        <v>1680</v>
      </c>
    </row>
    <row r="138" spans="1:22" ht="63.75" x14ac:dyDescent="0.2">
      <c r="A138" s="1" t="s">
        <v>207</v>
      </c>
      <c r="B138" s="2" t="s">
        <v>48</v>
      </c>
      <c r="C138" s="2" t="s">
        <v>208</v>
      </c>
      <c r="D138" s="2" t="s">
        <v>40</v>
      </c>
      <c r="E138" s="2">
        <v>2020</v>
      </c>
      <c r="F138" s="2" t="s">
        <v>388</v>
      </c>
      <c r="G138" s="2" t="s">
        <v>1667</v>
      </c>
      <c r="H138" s="2" t="s">
        <v>1669</v>
      </c>
      <c r="I138" s="1" t="s">
        <v>14</v>
      </c>
      <c r="J138" s="1" t="s">
        <v>1642</v>
      </c>
      <c r="L138" s="34"/>
      <c r="M138" s="35"/>
      <c r="N138" s="35"/>
      <c r="O138" s="35"/>
      <c r="P138" s="35"/>
      <c r="Q138" s="35"/>
      <c r="R138" s="35"/>
      <c r="S138" s="35"/>
      <c r="T138" s="35"/>
      <c r="U138" s="35"/>
      <c r="V138" s="60" t="s">
        <v>1697</v>
      </c>
    </row>
    <row r="139" spans="1:22" ht="38.25" x14ac:dyDescent="0.2">
      <c r="A139" s="1" t="s">
        <v>127</v>
      </c>
      <c r="B139" s="2" t="s">
        <v>16</v>
      </c>
      <c r="C139" s="2" t="s">
        <v>128</v>
      </c>
      <c r="D139" s="2" t="s">
        <v>129</v>
      </c>
      <c r="E139" s="2">
        <v>2020</v>
      </c>
      <c r="F139" s="2" t="s">
        <v>13</v>
      </c>
      <c r="G139" s="2" t="s">
        <v>1667</v>
      </c>
      <c r="H139" s="2" t="s">
        <v>1669</v>
      </c>
      <c r="I139" s="1" t="s">
        <v>14</v>
      </c>
      <c r="J139" s="1" t="s">
        <v>530</v>
      </c>
      <c r="L139" s="5">
        <v>0.32900000000000001</v>
      </c>
      <c r="M139" s="35"/>
      <c r="N139" s="35">
        <f>18.8+19.7+18.2+18.2+18.6+18.7</f>
        <v>112.2</v>
      </c>
      <c r="O139" s="35"/>
      <c r="P139" s="35"/>
      <c r="Q139" s="35"/>
      <c r="R139" s="35"/>
      <c r="S139" s="35"/>
      <c r="T139" s="35"/>
      <c r="U139" s="35"/>
    </row>
    <row r="140" spans="1:22" ht="25.5" x14ac:dyDescent="0.2">
      <c r="A140" s="1" t="s">
        <v>127</v>
      </c>
      <c r="B140" s="2" t="s">
        <v>16</v>
      </c>
      <c r="C140" s="2" t="s">
        <v>128</v>
      </c>
      <c r="D140" s="2" t="s">
        <v>129</v>
      </c>
      <c r="E140" s="2">
        <v>2020</v>
      </c>
      <c r="F140" s="2" t="s">
        <v>188</v>
      </c>
      <c r="G140" s="2" t="s">
        <v>1667</v>
      </c>
      <c r="H140" s="2" t="s">
        <v>1669</v>
      </c>
      <c r="I140" s="1" t="s">
        <v>14</v>
      </c>
      <c r="J140" s="1" t="s">
        <v>584</v>
      </c>
      <c r="L140" s="34">
        <v>0.31</v>
      </c>
      <c r="M140" s="35"/>
      <c r="N140" s="35">
        <f>17.8+21.1+20.1+18.8+19.2</f>
        <v>97.000000000000014</v>
      </c>
      <c r="O140" s="35"/>
      <c r="P140" s="35"/>
      <c r="Q140" s="35"/>
      <c r="R140" s="14"/>
      <c r="S140" s="35"/>
      <c r="T140" s="35"/>
      <c r="U140" s="35"/>
    </row>
    <row r="141" spans="1:22" ht="25.5" x14ac:dyDescent="0.2">
      <c r="A141" s="1" t="s">
        <v>127</v>
      </c>
      <c r="B141" s="2" t="s">
        <v>16</v>
      </c>
      <c r="C141" s="2" t="s">
        <v>128</v>
      </c>
      <c r="D141" s="2" t="s">
        <v>129</v>
      </c>
      <c r="E141" s="2">
        <v>2020</v>
      </c>
      <c r="F141" s="2" t="s">
        <v>203</v>
      </c>
      <c r="G141" s="2" t="s">
        <v>1667</v>
      </c>
      <c r="H141" s="2" t="s">
        <v>1669</v>
      </c>
      <c r="I141" s="1" t="s">
        <v>14</v>
      </c>
      <c r="J141" s="1" t="s">
        <v>624</v>
      </c>
      <c r="L141" s="34">
        <v>0.32</v>
      </c>
      <c r="M141" s="35"/>
      <c r="N141" s="35">
        <f>19.8+15.3+16.9+15.1+15.8+16.8+16.2+14.8</f>
        <v>130.69999999999999</v>
      </c>
      <c r="O141" s="35"/>
      <c r="P141" s="35"/>
      <c r="Q141" s="35"/>
      <c r="R141" s="14"/>
      <c r="S141" s="35"/>
      <c r="T141" s="35"/>
      <c r="U141" s="35"/>
    </row>
    <row r="142" spans="1:22" ht="25.5" x14ac:dyDescent="0.2">
      <c r="A142" s="1" t="s">
        <v>127</v>
      </c>
      <c r="B142" s="2" t="s">
        <v>16</v>
      </c>
      <c r="C142" s="2" t="s">
        <v>128</v>
      </c>
      <c r="D142" s="2" t="s">
        <v>129</v>
      </c>
      <c r="E142" s="2">
        <v>2020</v>
      </c>
      <c r="F142" s="2" t="s">
        <v>211</v>
      </c>
      <c r="G142" s="2" t="s">
        <v>1667</v>
      </c>
      <c r="H142" s="2" t="s">
        <v>1669</v>
      </c>
      <c r="I142" s="1" t="s">
        <v>14</v>
      </c>
      <c r="J142" s="1" t="s">
        <v>745</v>
      </c>
      <c r="L142" s="34">
        <v>0.33700000000000002</v>
      </c>
      <c r="M142" s="35"/>
      <c r="N142" s="35">
        <f>15.9+14+15.2+14.5+15.9</f>
        <v>75.5</v>
      </c>
      <c r="O142" s="35"/>
      <c r="P142" s="35"/>
      <c r="Q142" s="35"/>
      <c r="R142" s="14"/>
      <c r="S142" s="35"/>
      <c r="T142" s="35"/>
      <c r="U142" s="35"/>
    </row>
    <row r="143" spans="1:22" ht="25.5" x14ac:dyDescent="0.2">
      <c r="A143" s="1" t="s">
        <v>127</v>
      </c>
      <c r="B143" s="2" t="s">
        <v>16</v>
      </c>
      <c r="C143" s="2" t="s">
        <v>128</v>
      </c>
      <c r="D143" s="2" t="s">
        <v>129</v>
      </c>
      <c r="E143" s="2">
        <v>2020</v>
      </c>
      <c r="F143" s="2" t="s">
        <v>221</v>
      </c>
      <c r="G143" s="2" t="s">
        <v>1667</v>
      </c>
      <c r="H143" s="2" t="s">
        <v>1669</v>
      </c>
      <c r="I143" s="1" t="s">
        <v>14</v>
      </c>
      <c r="J143" s="1" t="s">
        <v>808</v>
      </c>
      <c r="L143" s="34">
        <v>0.245</v>
      </c>
      <c r="M143" s="35"/>
      <c r="N143" s="35">
        <f>19.6+19.7+19.3+19.5+18.3</f>
        <v>96.399999999999991</v>
      </c>
      <c r="O143" s="35"/>
      <c r="P143" s="35"/>
      <c r="Q143" s="35"/>
      <c r="R143" s="14"/>
      <c r="S143" s="14"/>
      <c r="T143" s="35"/>
      <c r="U143" s="35"/>
    </row>
    <row r="144" spans="1:22" ht="25.5" x14ac:dyDescent="0.2">
      <c r="A144" s="1" t="s">
        <v>127</v>
      </c>
      <c r="B144" s="2" t="s">
        <v>16</v>
      </c>
      <c r="C144" s="2" t="s">
        <v>128</v>
      </c>
      <c r="D144" s="2" t="s">
        <v>129</v>
      </c>
      <c r="E144" s="2">
        <v>2020</v>
      </c>
      <c r="F144" s="2" t="s">
        <v>256</v>
      </c>
      <c r="G144" s="2" t="s">
        <v>1667</v>
      </c>
      <c r="H144" s="2" t="s">
        <v>1669</v>
      </c>
      <c r="I144" s="1" t="s">
        <v>14</v>
      </c>
      <c r="J144" s="1" t="s">
        <v>939</v>
      </c>
      <c r="L144" s="34">
        <v>0.24690000000000001</v>
      </c>
      <c r="M144" s="35"/>
      <c r="N144" s="35">
        <f>19.84+21.23+18.51+18.53+18.8</f>
        <v>96.91</v>
      </c>
      <c r="O144" s="35"/>
      <c r="P144" s="35"/>
      <c r="Q144" s="35"/>
      <c r="R144" s="14"/>
      <c r="S144" s="14"/>
      <c r="T144" s="35"/>
      <c r="U144" s="35"/>
    </row>
    <row r="145" spans="1:21" ht="25.5" x14ac:dyDescent="0.2">
      <c r="A145" s="1" t="s">
        <v>127</v>
      </c>
      <c r="B145" s="2" t="s">
        <v>16</v>
      </c>
      <c r="C145" s="2" t="s">
        <v>128</v>
      </c>
      <c r="D145" s="2" t="s">
        <v>129</v>
      </c>
      <c r="E145" s="2">
        <v>2020</v>
      </c>
      <c r="F145" s="2" t="s">
        <v>276</v>
      </c>
      <c r="G145" s="2" t="s">
        <v>1667</v>
      </c>
      <c r="H145" s="2" t="s">
        <v>1669</v>
      </c>
      <c r="I145" s="1" t="s">
        <v>14</v>
      </c>
      <c r="J145" s="1" t="s">
        <v>989</v>
      </c>
      <c r="L145" s="34">
        <v>0.26</v>
      </c>
      <c r="M145" s="35"/>
      <c r="N145" s="35">
        <f>20+19.3+21.8+18+20+19.6+18.8</f>
        <v>137.5</v>
      </c>
      <c r="O145" s="35"/>
      <c r="P145" s="35"/>
      <c r="Q145" s="35"/>
      <c r="R145" s="14"/>
      <c r="S145" s="14"/>
      <c r="T145" s="35"/>
      <c r="U145" s="35"/>
    </row>
    <row r="146" spans="1:21" ht="25.5" x14ac:dyDescent="0.2">
      <c r="A146" s="1" t="s">
        <v>127</v>
      </c>
      <c r="B146" s="2" t="s">
        <v>16</v>
      </c>
      <c r="C146" s="2" t="s">
        <v>128</v>
      </c>
      <c r="D146" s="2" t="s">
        <v>129</v>
      </c>
      <c r="E146" s="2">
        <v>2020</v>
      </c>
      <c r="F146" s="2" t="s">
        <v>291</v>
      </c>
      <c r="G146" s="2" t="s">
        <v>1667</v>
      </c>
      <c r="H146" s="2" t="s">
        <v>1669</v>
      </c>
      <c r="I146" s="1" t="s">
        <v>14</v>
      </c>
      <c r="J146" s="1" t="s">
        <v>1189</v>
      </c>
      <c r="L146" s="34">
        <v>0.28899999999999998</v>
      </c>
      <c r="M146" s="35"/>
      <c r="N146" s="35">
        <f>19.1+20.8+18.6+20.5+19.8+19</f>
        <v>117.8</v>
      </c>
      <c r="O146" s="35"/>
      <c r="P146" s="35"/>
      <c r="Q146" s="35"/>
      <c r="R146" s="14"/>
      <c r="S146" s="14"/>
      <c r="T146" s="35"/>
      <c r="U146" s="35"/>
    </row>
    <row r="147" spans="1:21" ht="25.5" x14ac:dyDescent="0.2">
      <c r="A147" s="1" t="s">
        <v>127</v>
      </c>
      <c r="B147" s="2" t="s">
        <v>16</v>
      </c>
      <c r="C147" s="2" t="s">
        <v>128</v>
      </c>
      <c r="D147" s="2" t="s">
        <v>129</v>
      </c>
      <c r="E147" s="2">
        <v>2020</v>
      </c>
      <c r="F147" s="2" t="s">
        <v>311</v>
      </c>
      <c r="G147" s="2" t="s">
        <v>1667</v>
      </c>
      <c r="H147" s="2" t="s">
        <v>1669</v>
      </c>
      <c r="I147" s="1" t="s">
        <v>14</v>
      </c>
      <c r="J147" s="1" t="s">
        <v>1277</v>
      </c>
      <c r="L147" s="34">
        <v>0.29199999999999998</v>
      </c>
      <c r="M147" s="35"/>
      <c r="N147" s="35">
        <f>19.5+22.3+20.2+20.5+21</f>
        <v>103.5</v>
      </c>
      <c r="O147" s="35"/>
      <c r="P147" s="35"/>
      <c r="Q147" s="35"/>
      <c r="R147" s="14"/>
      <c r="S147" s="14"/>
      <c r="T147" s="35"/>
      <c r="U147" s="35"/>
    </row>
    <row r="148" spans="1:21" ht="25.5" x14ac:dyDescent="0.2">
      <c r="A148" s="1" t="s">
        <v>127</v>
      </c>
      <c r="B148" s="2" t="s">
        <v>16</v>
      </c>
      <c r="C148" s="2" t="s">
        <v>128</v>
      </c>
      <c r="D148" s="2" t="s">
        <v>129</v>
      </c>
      <c r="E148" s="2">
        <v>2020</v>
      </c>
      <c r="F148" s="2" t="s">
        <v>337</v>
      </c>
      <c r="G148" s="2" t="s">
        <v>1667</v>
      </c>
      <c r="H148" s="2" t="s">
        <v>1669</v>
      </c>
      <c r="I148" s="1" t="s">
        <v>14</v>
      </c>
      <c r="J148" s="1" t="s">
        <v>1450</v>
      </c>
      <c r="L148" s="34">
        <v>0.28399999999999997</v>
      </c>
      <c r="M148" s="35"/>
      <c r="N148" s="35">
        <f>21.5+20.9+22.1+20.3</f>
        <v>84.8</v>
      </c>
      <c r="O148" s="35"/>
      <c r="P148" s="35"/>
      <c r="Q148" s="35"/>
      <c r="R148" s="14"/>
      <c r="S148" s="14"/>
      <c r="T148" s="35"/>
      <c r="U148" s="35"/>
    </row>
    <row r="149" spans="1:21" ht="25.5" x14ac:dyDescent="0.2">
      <c r="A149" s="1" t="s">
        <v>127</v>
      </c>
      <c r="B149" s="2" t="s">
        <v>16</v>
      </c>
      <c r="C149" s="2" t="s">
        <v>128</v>
      </c>
      <c r="D149" s="2" t="s">
        <v>129</v>
      </c>
      <c r="E149" s="2">
        <v>2020</v>
      </c>
      <c r="F149" s="2" t="s">
        <v>364</v>
      </c>
      <c r="G149" s="2" t="s">
        <v>1667</v>
      </c>
      <c r="H149" s="2" t="s">
        <v>1669</v>
      </c>
      <c r="I149" s="1" t="s">
        <v>14</v>
      </c>
      <c r="J149" s="1" t="s">
        <v>1496</v>
      </c>
      <c r="L149" s="34">
        <v>0.28299999999999997</v>
      </c>
      <c r="M149" s="35"/>
      <c r="N149" s="35">
        <f>19.7+20.8+20.3+20+21.4</f>
        <v>102.19999999999999</v>
      </c>
      <c r="O149" s="35"/>
      <c r="P149" s="35"/>
      <c r="Q149" s="35"/>
      <c r="R149" s="14"/>
      <c r="S149" s="14"/>
      <c r="T149" s="35"/>
      <c r="U149" s="35"/>
    </row>
    <row r="150" spans="1:21" ht="25.5" x14ac:dyDescent="0.2">
      <c r="A150" s="1" t="s">
        <v>127</v>
      </c>
      <c r="B150" s="2" t="s">
        <v>16</v>
      </c>
      <c r="C150" s="2" t="s">
        <v>128</v>
      </c>
      <c r="D150" s="2" t="s">
        <v>129</v>
      </c>
      <c r="E150" s="2">
        <v>2020</v>
      </c>
      <c r="F150" s="2" t="s">
        <v>388</v>
      </c>
      <c r="G150" s="2" t="s">
        <v>1667</v>
      </c>
      <c r="H150" s="2" t="s">
        <v>1669</v>
      </c>
      <c r="I150" s="1" t="s">
        <v>14</v>
      </c>
      <c r="J150" s="1" t="s">
        <v>1645</v>
      </c>
      <c r="L150" s="34">
        <v>0.312</v>
      </c>
      <c r="M150" s="35"/>
      <c r="N150" s="35">
        <f>19.5+19.6+20.3+20+20.3</f>
        <v>99.7</v>
      </c>
      <c r="O150" s="35"/>
      <c r="P150" s="35"/>
      <c r="Q150" s="35"/>
      <c r="R150" s="35"/>
      <c r="S150" s="35"/>
      <c r="T150" s="35"/>
      <c r="U150" s="35"/>
    </row>
    <row r="151" spans="1:21" ht="38.25" x14ac:dyDescent="0.2">
      <c r="A151" s="1" t="s">
        <v>139</v>
      </c>
      <c r="B151" s="2" t="s">
        <v>24</v>
      </c>
      <c r="C151" s="2" t="s">
        <v>140</v>
      </c>
      <c r="D151" s="2" t="s">
        <v>141</v>
      </c>
      <c r="E151" s="2">
        <v>2020</v>
      </c>
      <c r="F151" s="2" t="s">
        <v>13</v>
      </c>
      <c r="G151" s="2" t="s">
        <v>1667</v>
      </c>
      <c r="H151" s="2" t="s">
        <v>1669</v>
      </c>
      <c r="I151" s="1" t="s">
        <v>14</v>
      </c>
      <c r="J151" s="1" t="s">
        <v>489</v>
      </c>
      <c r="L151" s="34" t="s">
        <v>1670</v>
      </c>
      <c r="M151" s="35"/>
      <c r="N151" s="35"/>
      <c r="O151" s="35"/>
      <c r="P151" s="35"/>
      <c r="Q151" s="35"/>
      <c r="R151" s="35">
        <v>372.14</v>
      </c>
      <c r="S151" s="35"/>
      <c r="T151" s="35"/>
      <c r="U151" s="35"/>
    </row>
    <row r="152" spans="1:21" ht="38.25" x14ac:dyDescent="0.2">
      <c r="A152" s="1" t="s">
        <v>139</v>
      </c>
      <c r="B152" s="2" t="s">
        <v>24</v>
      </c>
      <c r="C152" s="2" t="s">
        <v>140</v>
      </c>
      <c r="D152" s="2" t="s">
        <v>141</v>
      </c>
      <c r="E152" s="2">
        <v>2020</v>
      </c>
      <c r="F152" s="2" t="s">
        <v>188</v>
      </c>
      <c r="G152" s="2" t="s">
        <v>1667</v>
      </c>
      <c r="H152" s="2" t="s">
        <v>1669</v>
      </c>
      <c r="I152" s="1" t="s">
        <v>14</v>
      </c>
      <c r="J152" s="1" t="s">
        <v>592</v>
      </c>
      <c r="L152" s="34" t="s">
        <v>1670</v>
      </c>
      <c r="M152" s="35"/>
      <c r="N152" s="35"/>
      <c r="O152" s="35"/>
      <c r="P152" s="35"/>
      <c r="Q152" s="35"/>
      <c r="R152" s="39">
        <v>373.57</v>
      </c>
      <c r="S152" s="35"/>
      <c r="T152" s="35"/>
      <c r="U152" s="35"/>
    </row>
    <row r="153" spans="1:21" ht="51" x14ac:dyDescent="0.2">
      <c r="A153" s="1" t="s">
        <v>139</v>
      </c>
      <c r="B153" s="2" t="s">
        <v>24</v>
      </c>
      <c r="C153" s="2" t="s">
        <v>140</v>
      </c>
      <c r="D153" s="2" t="s">
        <v>141</v>
      </c>
      <c r="E153" s="2">
        <v>2020</v>
      </c>
      <c r="F153" s="2" t="s">
        <v>203</v>
      </c>
      <c r="G153" s="2" t="s">
        <v>1667</v>
      </c>
      <c r="H153" s="2" t="s">
        <v>1669</v>
      </c>
      <c r="I153" s="1" t="s">
        <v>14</v>
      </c>
      <c r="J153" s="1" t="s">
        <v>630</v>
      </c>
      <c r="L153" s="34" t="s">
        <v>1670</v>
      </c>
      <c r="M153" s="35"/>
      <c r="N153" s="35"/>
      <c r="O153" s="35"/>
      <c r="P153" s="35"/>
      <c r="Q153" s="35"/>
      <c r="R153" s="39">
        <v>299.25</v>
      </c>
      <c r="S153" s="35"/>
      <c r="T153" s="35"/>
      <c r="U153" s="35"/>
    </row>
    <row r="154" spans="1:21" ht="38.25" x14ac:dyDescent="0.2">
      <c r="A154" s="1" t="s">
        <v>139</v>
      </c>
      <c r="B154" s="2" t="s">
        <v>24</v>
      </c>
      <c r="C154" s="2" t="s">
        <v>140</v>
      </c>
      <c r="D154" s="2" t="s">
        <v>141</v>
      </c>
      <c r="E154" s="2">
        <v>2020</v>
      </c>
      <c r="F154" s="2" t="s">
        <v>211</v>
      </c>
      <c r="G154" s="2" t="s">
        <v>1667</v>
      </c>
      <c r="H154" s="2" t="s">
        <v>1669</v>
      </c>
      <c r="I154" s="1" t="s">
        <v>14</v>
      </c>
      <c r="J154" s="1" t="s">
        <v>732</v>
      </c>
      <c r="L154" s="34" t="s">
        <v>1670</v>
      </c>
      <c r="M154" s="35"/>
      <c r="N154" s="35"/>
      <c r="O154" s="35"/>
      <c r="P154" s="35"/>
      <c r="Q154" s="35"/>
      <c r="R154" s="39">
        <v>219.32</v>
      </c>
      <c r="S154" s="35"/>
      <c r="T154" s="35"/>
      <c r="U154" s="35"/>
    </row>
    <row r="155" spans="1:21" ht="51" x14ac:dyDescent="0.2">
      <c r="A155" s="1" t="s">
        <v>139</v>
      </c>
      <c r="B155" s="2" t="s">
        <v>24</v>
      </c>
      <c r="C155" s="2" t="s">
        <v>140</v>
      </c>
      <c r="D155" s="2" t="s">
        <v>141</v>
      </c>
      <c r="E155" s="2">
        <v>2020</v>
      </c>
      <c r="F155" s="2" t="s">
        <v>221</v>
      </c>
      <c r="G155" s="2" t="s">
        <v>1667</v>
      </c>
      <c r="H155" s="2" t="s">
        <v>1669</v>
      </c>
      <c r="I155" s="1" t="s">
        <v>14</v>
      </c>
      <c r="J155" s="1" t="s">
        <v>810</v>
      </c>
      <c r="L155" s="34" t="s">
        <v>1670</v>
      </c>
      <c r="M155" s="35"/>
      <c r="N155" s="35"/>
      <c r="O155" s="35"/>
      <c r="P155" s="35"/>
      <c r="Q155" s="35"/>
      <c r="R155" s="39">
        <v>399.64</v>
      </c>
      <c r="S155" s="14"/>
      <c r="T155" s="35"/>
      <c r="U155" s="35"/>
    </row>
    <row r="156" spans="1:21" ht="38.25" x14ac:dyDescent="0.2">
      <c r="A156" s="1" t="s">
        <v>139</v>
      </c>
      <c r="B156" s="2" t="s">
        <v>24</v>
      </c>
      <c r="C156" s="2" t="s">
        <v>140</v>
      </c>
      <c r="D156" s="2" t="s">
        <v>141</v>
      </c>
      <c r="E156" s="2">
        <v>2020</v>
      </c>
      <c r="F156" s="2" t="s">
        <v>256</v>
      </c>
      <c r="G156" s="2" t="s">
        <v>1667</v>
      </c>
      <c r="H156" s="2" t="s">
        <v>1669</v>
      </c>
      <c r="I156" s="1" t="s">
        <v>14</v>
      </c>
      <c r="J156" s="1" t="s">
        <v>920</v>
      </c>
      <c r="L156" s="34" t="s">
        <v>1670</v>
      </c>
      <c r="M156" s="35"/>
      <c r="N156" s="35"/>
      <c r="O156" s="35"/>
      <c r="P156" s="35"/>
      <c r="Q156" s="35"/>
      <c r="R156" s="39">
        <v>397.36</v>
      </c>
      <c r="S156" s="14"/>
      <c r="T156" s="35"/>
      <c r="U156" s="35"/>
    </row>
    <row r="157" spans="1:21" ht="38.25" x14ac:dyDescent="0.2">
      <c r="A157" s="1" t="s">
        <v>139</v>
      </c>
      <c r="B157" s="2" t="s">
        <v>24</v>
      </c>
      <c r="C157" s="2" t="s">
        <v>140</v>
      </c>
      <c r="D157" s="2" t="s">
        <v>141</v>
      </c>
      <c r="E157" s="2">
        <v>2020</v>
      </c>
      <c r="F157" s="2" t="s">
        <v>276</v>
      </c>
      <c r="G157" s="2" t="s">
        <v>1667</v>
      </c>
      <c r="H157" s="2" t="s">
        <v>1669</v>
      </c>
      <c r="I157" s="1" t="s">
        <v>14</v>
      </c>
      <c r="J157" s="1" t="s">
        <v>1015</v>
      </c>
      <c r="L157" s="34" t="s">
        <v>1670</v>
      </c>
      <c r="M157" s="35"/>
      <c r="N157" s="35"/>
      <c r="O157" s="35"/>
      <c r="P157" s="35"/>
      <c r="Q157" s="35"/>
      <c r="R157" s="39">
        <v>413.5</v>
      </c>
      <c r="S157" s="14"/>
      <c r="T157" s="35"/>
      <c r="U157" s="35"/>
    </row>
    <row r="158" spans="1:21" ht="38.25" x14ac:dyDescent="0.2">
      <c r="A158" s="1" t="s">
        <v>139</v>
      </c>
      <c r="B158" s="2" t="s">
        <v>24</v>
      </c>
      <c r="C158" s="2" t="s">
        <v>140</v>
      </c>
      <c r="D158" s="2" t="s">
        <v>141</v>
      </c>
      <c r="E158" s="2">
        <v>2020</v>
      </c>
      <c r="F158" s="2" t="s">
        <v>291</v>
      </c>
      <c r="G158" s="2" t="s">
        <v>1667</v>
      </c>
      <c r="H158" s="2" t="s">
        <v>1669</v>
      </c>
      <c r="I158" s="1" t="s">
        <v>14</v>
      </c>
      <c r="J158" s="1" t="s">
        <v>1149</v>
      </c>
      <c r="L158" s="34" t="s">
        <v>1670</v>
      </c>
      <c r="M158" s="35"/>
      <c r="N158" s="35"/>
      <c r="O158" s="35"/>
      <c r="P158" s="35"/>
      <c r="Q158" s="35"/>
      <c r="R158" s="39">
        <v>409.4</v>
      </c>
      <c r="S158" s="14"/>
      <c r="T158" s="35"/>
      <c r="U158" s="35"/>
    </row>
    <row r="159" spans="1:21" ht="38.25" x14ac:dyDescent="0.2">
      <c r="A159" s="1" t="s">
        <v>139</v>
      </c>
      <c r="B159" s="2" t="s">
        <v>24</v>
      </c>
      <c r="C159" s="2" t="s">
        <v>140</v>
      </c>
      <c r="D159" s="2" t="s">
        <v>141</v>
      </c>
      <c r="E159" s="2">
        <v>2020</v>
      </c>
      <c r="F159" s="2" t="s">
        <v>311</v>
      </c>
      <c r="G159" s="2" t="s">
        <v>1667</v>
      </c>
      <c r="H159" s="2" t="s">
        <v>1669</v>
      </c>
      <c r="I159" s="1" t="s">
        <v>14</v>
      </c>
      <c r="J159" s="1" t="s">
        <v>1247</v>
      </c>
      <c r="L159" s="34" t="s">
        <v>1670</v>
      </c>
      <c r="M159" s="35"/>
      <c r="N159" s="35"/>
      <c r="O159" s="35"/>
      <c r="P159" s="35"/>
      <c r="Q159" s="35"/>
      <c r="R159" s="39">
        <v>345.75</v>
      </c>
      <c r="S159" s="14"/>
      <c r="T159" s="35"/>
      <c r="U159" s="35"/>
    </row>
    <row r="160" spans="1:21" ht="38.25" x14ac:dyDescent="0.2">
      <c r="A160" s="1" t="s">
        <v>139</v>
      </c>
      <c r="B160" s="2" t="s">
        <v>24</v>
      </c>
      <c r="C160" s="2" t="s">
        <v>140</v>
      </c>
      <c r="D160" s="2" t="s">
        <v>141</v>
      </c>
      <c r="E160" s="2">
        <v>2020</v>
      </c>
      <c r="F160" s="2" t="s">
        <v>337</v>
      </c>
      <c r="G160" s="2" t="s">
        <v>1667</v>
      </c>
      <c r="H160" s="2" t="s">
        <v>1669</v>
      </c>
      <c r="I160" s="1" t="s">
        <v>14</v>
      </c>
      <c r="J160" s="1" t="s">
        <v>1406</v>
      </c>
      <c r="L160" s="34" t="s">
        <v>1670</v>
      </c>
      <c r="M160" s="35"/>
      <c r="N160" s="35"/>
      <c r="O160" s="35"/>
      <c r="P160" s="35"/>
      <c r="Q160" s="35"/>
      <c r="R160" s="39">
        <v>428.13</v>
      </c>
      <c r="S160" s="14"/>
      <c r="T160" s="35"/>
      <c r="U160" s="35"/>
    </row>
    <row r="161" spans="1:22" ht="51" x14ac:dyDescent="0.2">
      <c r="A161" s="1" t="s">
        <v>139</v>
      </c>
      <c r="B161" s="2" t="s">
        <v>24</v>
      </c>
      <c r="C161" s="2" t="s">
        <v>140</v>
      </c>
      <c r="D161" s="2" t="s">
        <v>141</v>
      </c>
      <c r="E161" s="2">
        <v>2020</v>
      </c>
      <c r="F161" s="2" t="s">
        <v>364</v>
      </c>
      <c r="G161" s="2" t="s">
        <v>1667</v>
      </c>
      <c r="H161" s="2" t="s">
        <v>1669</v>
      </c>
      <c r="I161" s="1" t="s">
        <v>14</v>
      </c>
      <c r="J161" s="1" t="s">
        <v>1514</v>
      </c>
      <c r="L161" s="34" t="s">
        <v>1670</v>
      </c>
      <c r="M161" s="35"/>
      <c r="N161" s="35"/>
      <c r="O161" s="35"/>
      <c r="P161" s="35"/>
      <c r="Q161" s="35"/>
      <c r="R161" s="39">
        <v>328.2</v>
      </c>
      <c r="S161" s="14"/>
      <c r="T161" s="35"/>
      <c r="U161" s="35"/>
    </row>
    <row r="162" spans="1:22" ht="38.25" x14ac:dyDescent="0.2">
      <c r="A162" s="1" t="s">
        <v>139</v>
      </c>
      <c r="B162" s="2" t="s">
        <v>24</v>
      </c>
      <c r="C162" s="2" t="s">
        <v>140</v>
      </c>
      <c r="D162" s="2" t="s">
        <v>141</v>
      </c>
      <c r="E162" s="2">
        <v>2020</v>
      </c>
      <c r="F162" s="2" t="s">
        <v>388</v>
      </c>
      <c r="G162" s="2" t="s">
        <v>1667</v>
      </c>
      <c r="H162" s="2" t="s">
        <v>1669</v>
      </c>
      <c r="I162" s="1" t="s">
        <v>14</v>
      </c>
      <c r="J162" s="1" t="s">
        <v>1646</v>
      </c>
      <c r="L162" s="34" t="s">
        <v>1670</v>
      </c>
      <c r="M162" s="35"/>
      <c r="N162" s="35"/>
      <c r="O162" s="35"/>
      <c r="P162" s="35"/>
      <c r="Q162" s="35"/>
      <c r="R162" s="41">
        <v>356.6</v>
      </c>
      <c r="S162" s="35"/>
      <c r="T162" s="35"/>
      <c r="U162" s="35"/>
    </row>
    <row r="163" spans="1:22" ht="38.25" x14ac:dyDescent="0.2">
      <c r="A163" s="1" t="s">
        <v>199</v>
      </c>
      <c r="B163" s="2" t="s">
        <v>200</v>
      </c>
      <c r="C163" s="2" t="s">
        <v>201</v>
      </c>
      <c r="D163" s="2" t="s">
        <v>202</v>
      </c>
      <c r="E163" s="2">
        <v>2020</v>
      </c>
      <c r="F163" s="2" t="s">
        <v>203</v>
      </c>
      <c r="G163" s="2" t="s">
        <v>1669</v>
      </c>
      <c r="H163" s="2" t="s">
        <v>1669</v>
      </c>
      <c r="I163" s="1" t="s">
        <v>674</v>
      </c>
      <c r="J163" s="1" t="s">
        <v>675</v>
      </c>
      <c r="L163" s="34"/>
      <c r="M163" s="35"/>
      <c r="N163" s="35"/>
      <c r="O163" s="35"/>
      <c r="P163" s="35"/>
      <c r="Q163" s="35"/>
      <c r="R163" s="14"/>
      <c r="S163" s="35"/>
      <c r="T163" s="35"/>
      <c r="U163" s="35"/>
      <c r="V163" s="60" t="s">
        <v>1694</v>
      </c>
    </row>
    <row r="164" spans="1:22" ht="38.25" x14ac:dyDescent="0.2">
      <c r="A164" s="1" t="s">
        <v>199</v>
      </c>
      <c r="B164" s="2" t="s">
        <v>200</v>
      </c>
      <c r="C164" s="2" t="s">
        <v>201</v>
      </c>
      <c r="D164" s="2" t="s">
        <v>202</v>
      </c>
      <c r="E164" s="2">
        <v>2020</v>
      </c>
      <c r="F164" s="2" t="s">
        <v>276</v>
      </c>
      <c r="G164" s="2" t="s">
        <v>1669</v>
      </c>
      <c r="H164" s="2" t="s">
        <v>1669</v>
      </c>
      <c r="I164" s="1" t="s">
        <v>994</v>
      </c>
      <c r="J164" s="1" t="s">
        <v>995</v>
      </c>
      <c r="L164" s="34"/>
      <c r="M164" s="35"/>
      <c r="N164" s="35"/>
      <c r="O164" s="35"/>
      <c r="P164" s="35"/>
      <c r="Q164" s="35"/>
      <c r="R164" s="14"/>
      <c r="S164" s="14"/>
      <c r="T164" s="35"/>
      <c r="U164" s="35"/>
      <c r="V164" s="60" t="s">
        <v>1694</v>
      </c>
    </row>
    <row r="165" spans="1:22" ht="38.25" x14ac:dyDescent="0.2">
      <c r="A165" s="1" t="s">
        <v>199</v>
      </c>
      <c r="B165" s="2" t="s">
        <v>200</v>
      </c>
      <c r="C165" s="2" t="s">
        <v>201</v>
      </c>
      <c r="D165" s="2" t="s">
        <v>202</v>
      </c>
      <c r="E165" s="2">
        <v>2020</v>
      </c>
      <c r="F165" s="2" t="s">
        <v>388</v>
      </c>
      <c r="G165" s="2" t="s">
        <v>1669</v>
      </c>
      <c r="H165" s="2" t="s">
        <v>1669</v>
      </c>
      <c r="I165" s="1" t="s">
        <v>1639</v>
      </c>
      <c r="J165" s="1" t="s">
        <v>1640</v>
      </c>
      <c r="L165" s="34"/>
      <c r="M165" s="35"/>
      <c r="N165" s="35"/>
      <c r="O165" s="35"/>
      <c r="P165" s="35"/>
      <c r="Q165" s="35"/>
      <c r="R165" s="35"/>
      <c r="S165" s="35"/>
      <c r="T165" s="35"/>
      <c r="U165" s="35"/>
      <c r="V165" s="60" t="s">
        <v>1694</v>
      </c>
    </row>
    <row r="166" spans="1:22" ht="53.25" customHeight="1" x14ac:dyDescent="0.2">
      <c r="A166" s="1" t="s">
        <v>258</v>
      </c>
      <c r="B166" s="2" t="s">
        <v>232</v>
      </c>
      <c r="C166" s="2" t="s">
        <v>259</v>
      </c>
      <c r="D166" s="2" t="s">
        <v>108</v>
      </c>
      <c r="E166" s="2">
        <v>2020</v>
      </c>
      <c r="F166" s="2" t="s">
        <v>276</v>
      </c>
      <c r="G166" s="2" t="s">
        <v>1669</v>
      </c>
      <c r="H166" s="2" t="s">
        <v>1669</v>
      </c>
      <c r="I166" s="1" t="s">
        <v>1016</v>
      </c>
      <c r="J166" s="1" t="s">
        <v>1017</v>
      </c>
      <c r="L166" s="34" t="s">
        <v>1670</v>
      </c>
      <c r="M166" s="35"/>
      <c r="N166" s="35"/>
      <c r="O166" s="35"/>
      <c r="P166" s="35"/>
      <c r="Q166" s="35"/>
      <c r="R166" s="14"/>
      <c r="S166" s="14"/>
      <c r="T166" s="35"/>
      <c r="U166" s="35">
        <v>42</v>
      </c>
      <c r="V166" s="60" t="s">
        <v>1699</v>
      </c>
    </row>
    <row r="167" spans="1:22" ht="38.25" x14ac:dyDescent="0.2">
      <c r="A167" s="1" t="s">
        <v>258</v>
      </c>
      <c r="B167" s="2" t="s">
        <v>232</v>
      </c>
      <c r="C167" s="2" t="s">
        <v>259</v>
      </c>
      <c r="D167" s="2" t="s">
        <v>108</v>
      </c>
      <c r="E167" s="2">
        <v>2020</v>
      </c>
      <c r="F167" s="2" t="s">
        <v>311</v>
      </c>
      <c r="G167" s="2" t="s">
        <v>1669</v>
      </c>
      <c r="H167" s="2" t="s">
        <v>1669</v>
      </c>
      <c r="I167" s="1" t="s">
        <v>1214</v>
      </c>
      <c r="J167" s="1" t="s">
        <v>1215</v>
      </c>
      <c r="L167" s="34" t="s">
        <v>1670</v>
      </c>
      <c r="M167" s="35"/>
      <c r="N167" s="35"/>
      <c r="O167" s="35"/>
      <c r="P167" s="35"/>
      <c r="Q167" s="35"/>
      <c r="R167" s="14"/>
      <c r="S167" s="14"/>
      <c r="T167" s="35"/>
      <c r="U167" s="35">
        <v>16.5</v>
      </c>
      <c r="V167" s="60" t="s">
        <v>1699</v>
      </c>
    </row>
    <row r="168" spans="1:22" ht="38.25" x14ac:dyDescent="0.2">
      <c r="A168" s="1" t="s">
        <v>258</v>
      </c>
      <c r="B168" s="2" t="s">
        <v>232</v>
      </c>
      <c r="C168" s="2" t="s">
        <v>259</v>
      </c>
      <c r="D168" s="2" t="s">
        <v>108</v>
      </c>
      <c r="E168" s="2">
        <v>2020</v>
      </c>
      <c r="F168" s="2" t="s">
        <v>364</v>
      </c>
      <c r="G168" s="2" t="s">
        <v>1669</v>
      </c>
      <c r="H168" s="2" t="s">
        <v>1669</v>
      </c>
      <c r="I168" s="1" t="s">
        <v>1567</v>
      </c>
      <c r="J168" s="1" t="s">
        <v>1568</v>
      </c>
      <c r="L168" s="34" t="s">
        <v>1670</v>
      </c>
      <c r="M168" s="35"/>
      <c r="N168" s="35"/>
      <c r="O168" s="35"/>
      <c r="P168" s="35"/>
      <c r="Q168" s="35"/>
      <c r="R168" s="14"/>
      <c r="S168" s="14"/>
      <c r="T168" s="35"/>
      <c r="U168" s="35">
        <v>38</v>
      </c>
      <c r="V168" s="60" t="s">
        <v>1699</v>
      </c>
    </row>
    <row r="169" spans="1:22" ht="63.75" x14ac:dyDescent="0.2">
      <c r="A169" s="1" t="s">
        <v>205</v>
      </c>
      <c r="B169" s="2" t="s">
        <v>196</v>
      </c>
      <c r="C169" s="2" t="s">
        <v>206</v>
      </c>
      <c r="D169" s="2" t="s">
        <v>121</v>
      </c>
      <c r="E169" s="2">
        <v>2020</v>
      </c>
      <c r="F169" s="2" t="s">
        <v>276</v>
      </c>
      <c r="G169" s="2" t="s">
        <v>1669</v>
      </c>
      <c r="H169" s="2" t="s">
        <v>1669</v>
      </c>
      <c r="I169" s="1" t="s">
        <v>975</v>
      </c>
      <c r="J169" s="1" t="s">
        <v>976</v>
      </c>
      <c r="L169" s="34">
        <v>0.29530000000000001</v>
      </c>
      <c r="M169" s="35"/>
      <c r="N169" s="37">
        <f>180.57/L169</f>
        <v>611.47985099898403</v>
      </c>
      <c r="O169" s="35"/>
      <c r="P169" s="35"/>
      <c r="Q169" s="35"/>
      <c r="R169" s="14"/>
      <c r="S169" s="14"/>
      <c r="T169" s="35"/>
      <c r="U169" s="35"/>
      <c r="V169" s="60" t="s">
        <v>1766</v>
      </c>
    </row>
    <row r="170" spans="1:22" ht="85.5" customHeight="1" x14ac:dyDescent="0.2">
      <c r="A170" s="1" t="s">
        <v>409</v>
      </c>
      <c r="B170" s="2" t="s">
        <v>32</v>
      </c>
      <c r="C170" s="2" t="s">
        <v>410</v>
      </c>
      <c r="D170" s="2" t="s">
        <v>243</v>
      </c>
      <c r="E170" s="2">
        <v>2020</v>
      </c>
      <c r="F170" s="2" t="s">
        <v>221</v>
      </c>
      <c r="G170" s="2" t="s">
        <v>1667</v>
      </c>
      <c r="H170" s="2" t="s">
        <v>1669</v>
      </c>
      <c r="I170" s="1" t="s">
        <v>14</v>
      </c>
      <c r="J170" s="1" t="s">
        <v>830</v>
      </c>
      <c r="L170" s="34">
        <v>0.55000000000000004</v>
      </c>
      <c r="N170" s="35"/>
      <c r="O170" s="35"/>
      <c r="P170" s="35"/>
      <c r="Q170" s="35">
        <f>10*0.8</f>
        <v>8</v>
      </c>
      <c r="R170" s="14"/>
      <c r="S170" s="14"/>
      <c r="T170" s="35"/>
      <c r="U170" s="35"/>
      <c r="V170" s="60" t="s">
        <v>1763</v>
      </c>
    </row>
    <row r="171" spans="1:22" ht="40.5" customHeight="1" x14ac:dyDescent="0.2">
      <c r="A171" s="1" t="s">
        <v>409</v>
      </c>
      <c r="B171" s="2" t="s">
        <v>32</v>
      </c>
      <c r="C171" s="2" t="s">
        <v>410</v>
      </c>
      <c r="D171" s="2" t="s">
        <v>243</v>
      </c>
      <c r="E171" s="2">
        <v>2020</v>
      </c>
      <c r="F171" s="2" t="s">
        <v>276</v>
      </c>
      <c r="G171" s="2" t="s">
        <v>1667</v>
      </c>
      <c r="H171" s="2" t="s">
        <v>1669</v>
      </c>
      <c r="I171" s="1" t="s">
        <v>14</v>
      </c>
      <c r="J171" s="1" t="s">
        <v>988</v>
      </c>
      <c r="L171" s="34">
        <v>0.37</v>
      </c>
      <c r="M171" s="35">
        <v>40</v>
      </c>
      <c r="N171" s="35"/>
      <c r="O171" s="35"/>
      <c r="P171" s="35"/>
      <c r="R171" s="14"/>
      <c r="S171" s="14"/>
      <c r="T171" s="35"/>
      <c r="U171" s="35"/>
      <c r="V171" s="60" t="s">
        <v>1769</v>
      </c>
    </row>
    <row r="172" spans="1:22" ht="38.25" x14ac:dyDescent="0.2">
      <c r="A172" s="1" t="s">
        <v>1161</v>
      </c>
      <c r="B172" s="2" t="s">
        <v>198</v>
      </c>
      <c r="C172" s="2" t="s">
        <v>1162</v>
      </c>
      <c r="D172" s="2" t="s">
        <v>234</v>
      </c>
      <c r="E172" s="2">
        <v>2020</v>
      </c>
      <c r="F172" s="2" t="s">
        <v>291</v>
      </c>
      <c r="G172" s="2" t="s">
        <v>1669</v>
      </c>
      <c r="H172" s="2" t="s">
        <v>1669</v>
      </c>
      <c r="I172" s="1" t="s">
        <v>1163</v>
      </c>
      <c r="J172" s="1" t="s">
        <v>1164</v>
      </c>
      <c r="L172" s="34" t="s">
        <v>1670</v>
      </c>
      <c r="M172" s="35"/>
      <c r="N172" s="35"/>
      <c r="O172" s="35"/>
      <c r="P172" s="35"/>
      <c r="Q172" s="35"/>
      <c r="R172" s="14"/>
      <c r="S172" s="14"/>
      <c r="T172" s="35"/>
      <c r="U172" s="35">
        <v>0.45</v>
      </c>
      <c r="V172" s="60" t="s">
        <v>1682</v>
      </c>
    </row>
    <row r="173" spans="1:22" ht="114.75" x14ac:dyDescent="0.2">
      <c r="A173" s="1" t="s">
        <v>459</v>
      </c>
      <c r="B173" s="2" t="s">
        <v>198</v>
      </c>
      <c r="C173" s="2" t="s">
        <v>460</v>
      </c>
      <c r="D173" s="2" t="s">
        <v>46</v>
      </c>
      <c r="E173" s="2">
        <v>2020</v>
      </c>
      <c r="F173" s="2" t="s">
        <v>291</v>
      </c>
      <c r="G173" s="2" t="s">
        <v>1669</v>
      </c>
      <c r="H173" s="2" t="s">
        <v>1669</v>
      </c>
      <c r="I173" s="1" t="s">
        <v>1069</v>
      </c>
      <c r="J173" s="1" t="s">
        <v>1070</v>
      </c>
      <c r="L173" s="34">
        <v>0.20499999999999999</v>
      </c>
      <c r="M173" s="35"/>
      <c r="N173" s="35">
        <v>1075.93</v>
      </c>
      <c r="O173" s="35"/>
      <c r="P173" s="35"/>
      <c r="Q173" s="35"/>
      <c r="R173" s="14"/>
      <c r="S173" s="14"/>
      <c r="T173" s="35"/>
      <c r="U173" s="35"/>
      <c r="V173" s="60" t="s">
        <v>1737</v>
      </c>
    </row>
    <row r="174" spans="1:22" ht="114.75" x14ac:dyDescent="0.2">
      <c r="A174" s="1" t="s">
        <v>459</v>
      </c>
      <c r="B174" s="2" t="s">
        <v>198</v>
      </c>
      <c r="C174" s="2" t="s">
        <v>460</v>
      </c>
      <c r="D174" s="2" t="s">
        <v>46</v>
      </c>
      <c r="E174" s="2">
        <v>2020</v>
      </c>
      <c r="F174" s="2" t="s">
        <v>311</v>
      </c>
      <c r="G174" s="2" t="s">
        <v>1669</v>
      </c>
      <c r="H174" s="2" t="s">
        <v>1669</v>
      </c>
      <c r="I174" s="1" t="s">
        <v>1201</v>
      </c>
      <c r="J174" s="1" t="s">
        <v>1202</v>
      </c>
      <c r="L174" s="34">
        <v>0.218</v>
      </c>
      <c r="M174" s="35"/>
      <c r="N174" s="35">
        <v>443.06</v>
      </c>
      <c r="O174" s="35"/>
      <c r="P174" s="35"/>
      <c r="Q174" s="35"/>
      <c r="R174" s="14"/>
      <c r="S174" s="14"/>
      <c r="T174" s="35"/>
      <c r="U174" s="35"/>
      <c r="V174" s="60" t="s">
        <v>1737</v>
      </c>
    </row>
    <row r="175" spans="1:22" ht="38.25" x14ac:dyDescent="0.2">
      <c r="A175" s="1" t="s">
        <v>358</v>
      </c>
      <c r="B175" s="2" t="s">
        <v>196</v>
      </c>
      <c r="C175" s="2" t="s">
        <v>359</v>
      </c>
      <c r="D175" s="2" t="s">
        <v>46</v>
      </c>
      <c r="E175" s="2">
        <v>2020</v>
      </c>
      <c r="F175" s="2" t="s">
        <v>276</v>
      </c>
      <c r="G175" s="2" t="s">
        <v>1669</v>
      </c>
      <c r="H175" s="2" t="s">
        <v>1669</v>
      </c>
      <c r="I175" s="1" t="s">
        <v>1013</v>
      </c>
      <c r="J175" s="1" t="s">
        <v>1014</v>
      </c>
      <c r="L175" s="34"/>
      <c r="M175" s="35"/>
      <c r="N175" s="35"/>
      <c r="O175" s="35"/>
      <c r="P175" s="35"/>
      <c r="Q175" s="35"/>
      <c r="R175" s="14"/>
      <c r="S175" s="14"/>
      <c r="T175" s="35"/>
      <c r="U175" s="35"/>
    </row>
    <row r="176" spans="1:22" ht="89.25" x14ac:dyDescent="0.2">
      <c r="A176" s="1" t="s">
        <v>358</v>
      </c>
      <c r="B176" s="2" t="s">
        <v>196</v>
      </c>
      <c r="C176" s="2" t="s">
        <v>359</v>
      </c>
      <c r="D176" s="2" t="s">
        <v>46</v>
      </c>
      <c r="E176" s="2">
        <v>2020</v>
      </c>
      <c r="F176" s="2" t="s">
        <v>291</v>
      </c>
      <c r="G176" s="2" t="s">
        <v>1669</v>
      </c>
      <c r="H176" s="2" t="s">
        <v>1669</v>
      </c>
      <c r="I176" s="1" t="s">
        <v>1123</v>
      </c>
      <c r="J176" s="1" t="s">
        <v>1124</v>
      </c>
      <c r="L176" s="34">
        <v>0.25</v>
      </c>
      <c r="M176" s="35"/>
      <c r="N176" s="35">
        <f>515/0.25</f>
        <v>2060</v>
      </c>
      <c r="O176" s="35"/>
      <c r="P176" s="35"/>
      <c r="R176" s="14"/>
      <c r="S176" s="14"/>
      <c r="T176" s="35"/>
      <c r="U176" s="35"/>
      <c r="V176" s="60"/>
    </row>
    <row r="177" spans="1:22" ht="51" x14ac:dyDescent="0.2">
      <c r="A177" s="1" t="s">
        <v>284</v>
      </c>
      <c r="B177" s="2" t="s">
        <v>264</v>
      </c>
      <c r="C177" s="2" t="s">
        <v>285</v>
      </c>
      <c r="D177" s="2" t="s">
        <v>246</v>
      </c>
      <c r="E177" s="2">
        <v>2020</v>
      </c>
      <c r="F177" s="2" t="s">
        <v>311</v>
      </c>
      <c r="G177" s="2" t="s">
        <v>1669</v>
      </c>
      <c r="H177" s="2" t="s">
        <v>1669</v>
      </c>
      <c r="I177" s="1" t="s">
        <v>1302</v>
      </c>
      <c r="J177" s="1" t="s">
        <v>1302</v>
      </c>
      <c r="L177" s="34" t="s">
        <v>1670</v>
      </c>
      <c r="M177" s="37">
        <f>4000*0.004546</f>
        <v>18.183999999999997</v>
      </c>
      <c r="N177" s="35"/>
      <c r="O177" s="35"/>
      <c r="P177" s="35"/>
      <c r="Q177" s="35"/>
      <c r="R177" s="14"/>
      <c r="S177" s="14"/>
      <c r="T177" s="35"/>
      <c r="U177" s="35"/>
      <c r="V177" s="60" t="s">
        <v>1764</v>
      </c>
    </row>
    <row r="178" spans="1:22" ht="25.5" x14ac:dyDescent="0.2">
      <c r="A178" s="1" t="s">
        <v>98</v>
      </c>
      <c r="B178" s="2" t="s">
        <v>24</v>
      </c>
      <c r="C178" s="2" t="s">
        <v>99</v>
      </c>
      <c r="D178" s="2" t="s">
        <v>100</v>
      </c>
      <c r="E178" s="2">
        <v>2020</v>
      </c>
      <c r="F178" s="2" t="s">
        <v>13</v>
      </c>
      <c r="G178" s="2" t="s">
        <v>1667</v>
      </c>
      <c r="H178" s="2" t="s">
        <v>1669</v>
      </c>
      <c r="I178" s="1" t="s">
        <v>14</v>
      </c>
      <c r="J178" s="1" t="s">
        <v>527</v>
      </c>
      <c r="L178" s="5" t="s">
        <v>1670</v>
      </c>
      <c r="M178" s="35"/>
      <c r="N178" s="35">
        <v>128.78</v>
      </c>
      <c r="O178" s="35"/>
      <c r="P178" s="35"/>
      <c r="Q178" s="35"/>
      <c r="R178" s="35"/>
      <c r="S178" s="35"/>
      <c r="T178" s="35"/>
      <c r="U178" s="35"/>
      <c r="V178" s="61" t="s">
        <v>1742</v>
      </c>
    </row>
    <row r="179" spans="1:22" ht="25.5" x14ac:dyDescent="0.2">
      <c r="A179" s="1" t="s">
        <v>98</v>
      </c>
      <c r="B179" s="2" t="s">
        <v>24</v>
      </c>
      <c r="C179" s="2" t="s">
        <v>99</v>
      </c>
      <c r="D179" s="2" t="s">
        <v>100</v>
      </c>
      <c r="E179" s="2">
        <v>2020</v>
      </c>
      <c r="F179" s="2" t="s">
        <v>188</v>
      </c>
      <c r="G179" s="2" t="s">
        <v>1667</v>
      </c>
      <c r="H179" s="2" t="s">
        <v>1669</v>
      </c>
      <c r="I179" s="1" t="s">
        <v>14</v>
      </c>
      <c r="J179" s="1" t="s">
        <v>558</v>
      </c>
      <c r="L179" s="34" t="s">
        <v>1670</v>
      </c>
      <c r="M179" s="35"/>
      <c r="N179" s="35">
        <v>129.87</v>
      </c>
      <c r="O179" s="35"/>
      <c r="P179" s="35"/>
      <c r="Q179" s="35"/>
      <c r="R179" s="35"/>
      <c r="S179" s="35"/>
      <c r="T179" s="35"/>
      <c r="U179" s="35"/>
      <c r="V179" s="61" t="s">
        <v>1742</v>
      </c>
    </row>
    <row r="180" spans="1:22" ht="25.5" x14ac:dyDescent="0.2">
      <c r="A180" s="1" t="s">
        <v>98</v>
      </c>
      <c r="B180" s="2" t="s">
        <v>24</v>
      </c>
      <c r="C180" s="2" t="s">
        <v>99</v>
      </c>
      <c r="D180" s="2" t="s">
        <v>100</v>
      </c>
      <c r="E180" s="2">
        <v>2020</v>
      </c>
      <c r="F180" s="2" t="s">
        <v>203</v>
      </c>
      <c r="G180" s="2" t="s">
        <v>1667</v>
      </c>
      <c r="H180" s="2" t="s">
        <v>1669</v>
      </c>
      <c r="I180" s="1" t="s">
        <v>14</v>
      </c>
      <c r="J180" s="1" t="s">
        <v>657</v>
      </c>
      <c r="L180" s="34" t="s">
        <v>1670</v>
      </c>
      <c r="M180" s="35"/>
      <c r="N180" s="35">
        <v>117.99</v>
      </c>
      <c r="O180" s="35"/>
      <c r="P180" s="35"/>
      <c r="Q180" s="35"/>
      <c r="R180" s="14"/>
      <c r="S180" s="35"/>
      <c r="T180" s="35"/>
      <c r="U180" s="35"/>
      <c r="V180" s="61" t="s">
        <v>1742</v>
      </c>
    </row>
    <row r="181" spans="1:22" ht="25.5" x14ac:dyDescent="0.2">
      <c r="A181" s="1" t="s">
        <v>98</v>
      </c>
      <c r="B181" s="2" t="s">
        <v>24</v>
      </c>
      <c r="C181" s="2" t="s">
        <v>99</v>
      </c>
      <c r="D181" s="2" t="s">
        <v>100</v>
      </c>
      <c r="E181" s="2">
        <v>2020</v>
      </c>
      <c r="F181" s="2" t="s">
        <v>211</v>
      </c>
      <c r="G181" s="2" t="s">
        <v>1667</v>
      </c>
      <c r="H181" s="2" t="s">
        <v>1669</v>
      </c>
      <c r="I181" s="1" t="s">
        <v>14</v>
      </c>
      <c r="J181" s="1" t="s">
        <v>746</v>
      </c>
      <c r="L181" s="34" t="s">
        <v>1670</v>
      </c>
      <c r="M181" s="35"/>
      <c r="N181" s="35">
        <v>111.98</v>
      </c>
      <c r="O181" s="35"/>
      <c r="P181" s="35"/>
      <c r="Q181" s="35"/>
      <c r="R181" s="14"/>
      <c r="S181" s="35"/>
      <c r="T181" s="35"/>
      <c r="U181" s="35"/>
      <c r="V181" s="61" t="s">
        <v>1742</v>
      </c>
    </row>
    <row r="182" spans="1:22" ht="25.5" x14ac:dyDescent="0.2">
      <c r="A182" s="1" t="s">
        <v>98</v>
      </c>
      <c r="B182" s="2" t="s">
        <v>24</v>
      </c>
      <c r="C182" s="2" t="s">
        <v>99</v>
      </c>
      <c r="D182" s="2" t="s">
        <v>100</v>
      </c>
      <c r="E182" s="2">
        <v>2020</v>
      </c>
      <c r="F182" s="2" t="s">
        <v>221</v>
      </c>
      <c r="G182" s="2" t="s">
        <v>1667</v>
      </c>
      <c r="H182" s="2" t="s">
        <v>1669</v>
      </c>
      <c r="I182" s="1" t="s">
        <v>14</v>
      </c>
      <c r="J182" s="1" t="s">
        <v>800</v>
      </c>
      <c r="L182" s="34" t="s">
        <v>1670</v>
      </c>
      <c r="M182" s="35"/>
      <c r="N182" s="35">
        <v>154.01</v>
      </c>
      <c r="O182" s="35"/>
      <c r="P182" s="35"/>
      <c r="Q182" s="35"/>
      <c r="R182" s="14"/>
      <c r="S182" s="35"/>
      <c r="T182" s="35"/>
      <c r="U182" s="35"/>
      <c r="V182" s="61" t="s">
        <v>1742</v>
      </c>
    </row>
    <row r="183" spans="1:22" ht="25.5" x14ac:dyDescent="0.2">
      <c r="A183" s="1" t="s">
        <v>98</v>
      </c>
      <c r="B183" s="2" t="s">
        <v>24</v>
      </c>
      <c r="C183" s="2" t="s">
        <v>99</v>
      </c>
      <c r="D183" s="2" t="s">
        <v>100</v>
      </c>
      <c r="E183" s="2">
        <v>2020</v>
      </c>
      <c r="F183" s="2" t="s">
        <v>256</v>
      </c>
      <c r="G183" s="2" t="s">
        <v>1667</v>
      </c>
      <c r="H183" s="2" t="s">
        <v>1669</v>
      </c>
      <c r="I183" s="1" t="s">
        <v>14</v>
      </c>
      <c r="J183" s="1" t="s">
        <v>923</v>
      </c>
      <c r="L183" s="34" t="s">
        <v>1670</v>
      </c>
      <c r="M183" s="35"/>
      <c r="N183" s="35">
        <v>247.51</v>
      </c>
      <c r="O183" s="35"/>
      <c r="P183" s="35"/>
      <c r="Q183" s="35"/>
      <c r="R183" s="14"/>
      <c r="S183" s="14"/>
      <c r="T183" s="35"/>
      <c r="U183" s="35"/>
      <c r="V183" s="61" t="s">
        <v>1742</v>
      </c>
    </row>
    <row r="184" spans="1:22" ht="25.5" x14ac:dyDescent="0.2">
      <c r="A184" s="1" t="s">
        <v>98</v>
      </c>
      <c r="B184" s="2" t="s">
        <v>24</v>
      </c>
      <c r="C184" s="2" t="s">
        <v>99</v>
      </c>
      <c r="D184" s="2" t="s">
        <v>100</v>
      </c>
      <c r="E184" s="2">
        <v>2020</v>
      </c>
      <c r="F184" s="2" t="s">
        <v>276</v>
      </c>
      <c r="G184" s="2" t="s">
        <v>1667</v>
      </c>
      <c r="H184" s="2" t="s">
        <v>1669</v>
      </c>
      <c r="I184" s="1" t="s">
        <v>14</v>
      </c>
      <c r="J184" s="1" t="s">
        <v>1057</v>
      </c>
      <c r="L184" s="34" t="s">
        <v>1670</v>
      </c>
      <c r="M184" s="35"/>
      <c r="N184" s="35">
        <v>255.63</v>
      </c>
      <c r="O184" s="35"/>
      <c r="P184" s="35"/>
      <c r="Q184" s="35"/>
      <c r="R184" s="14"/>
      <c r="S184" s="14"/>
      <c r="T184" s="35"/>
      <c r="U184" s="35"/>
      <c r="V184" s="61" t="s">
        <v>1742</v>
      </c>
    </row>
    <row r="185" spans="1:22" ht="25.5" x14ac:dyDescent="0.2">
      <c r="A185" s="1" t="s">
        <v>98</v>
      </c>
      <c r="B185" s="2" t="s">
        <v>24</v>
      </c>
      <c r="C185" s="2" t="s">
        <v>99</v>
      </c>
      <c r="D185" s="2" t="s">
        <v>100</v>
      </c>
      <c r="E185" s="2">
        <v>2020</v>
      </c>
      <c r="F185" s="2" t="s">
        <v>291</v>
      </c>
      <c r="G185" s="2" t="s">
        <v>1667</v>
      </c>
      <c r="H185" s="2" t="s">
        <v>1669</v>
      </c>
      <c r="I185" s="1" t="s">
        <v>14</v>
      </c>
      <c r="J185" s="1" t="s">
        <v>1196</v>
      </c>
      <c r="L185" s="34" t="s">
        <v>1670</v>
      </c>
      <c r="M185" s="35"/>
      <c r="N185" s="35">
        <v>238.76</v>
      </c>
      <c r="O185" s="35"/>
      <c r="P185" s="35"/>
      <c r="Q185" s="35"/>
      <c r="R185" s="14"/>
      <c r="S185" s="14"/>
      <c r="T185" s="35"/>
      <c r="U185" s="35"/>
      <c r="V185" s="61" t="s">
        <v>1742</v>
      </c>
    </row>
    <row r="186" spans="1:22" ht="25.5" x14ac:dyDescent="0.2">
      <c r="A186" s="1" t="s">
        <v>98</v>
      </c>
      <c r="B186" s="2" t="s">
        <v>24</v>
      </c>
      <c r="C186" s="2" t="s">
        <v>99</v>
      </c>
      <c r="D186" s="2" t="s">
        <v>100</v>
      </c>
      <c r="E186" s="2">
        <v>2020</v>
      </c>
      <c r="F186" s="2" t="s">
        <v>311</v>
      </c>
      <c r="G186" s="2" t="s">
        <v>1667</v>
      </c>
      <c r="H186" s="2" t="s">
        <v>1669</v>
      </c>
      <c r="I186" s="1" t="s">
        <v>14</v>
      </c>
      <c r="J186" s="1" t="s">
        <v>1279</v>
      </c>
      <c r="L186" s="34" t="s">
        <v>1670</v>
      </c>
      <c r="M186" s="35"/>
      <c r="N186" s="35">
        <v>193.39</v>
      </c>
      <c r="O186" s="35"/>
      <c r="P186" s="35"/>
      <c r="Q186" s="35"/>
      <c r="R186" s="14"/>
      <c r="S186" s="14"/>
      <c r="T186" s="35"/>
      <c r="U186" s="35"/>
      <c r="V186" s="61" t="s">
        <v>1742</v>
      </c>
    </row>
    <row r="187" spans="1:22" ht="25.5" x14ac:dyDescent="0.2">
      <c r="A187" s="1" t="s">
        <v>98</v>
      </c>
      <c r="B187" s="2" t="s">
        <v>24</v>
      </c>
      <c r="C187" s="2" t="s">
        <v>99</v>
      </c>
      <c r="D187" s="2" t="s">
        <v>100</v>
      </c>
      <c r="E187" s="2">
        <v>2020</v>
      </c>
      <c r="F187" s="2" t="s">
        <v>337</v>
      </c>
      <c r="G187" s="2" t="s">
        <v>1667</v>
      </c>
      <c r="H187" s="2" t="s">
        <v>1669</v>
      </c>
      <c r="I187" s="1" t="s">
        <v>14</v>
      </c>
      <c r="J187" s="1" t="s">
        <v>1445</v>
      </c>
      <c r="L187" s="34" t="s">
        <v>1670</v>
      </c>
      <c r="M187" s="35"/>
      <c r="N187" s="35">
        <v>237.16</v>
      </c>
      <c r="O187" s="35"/>
      <c r="P187" s="35"/>
      <c r="Q187" s="35"/>
      <c r="R187" s="14"/>
      <c r="S187" s="14"/>
      <c r="T187" s="35"/>
      <c r="U187" s="35"/>
      <c r="V187" s="61" t="s">
        <v>1742</v>
      </c>
    </row>
    <row r="188" spans="1:22" ht="25.5" x14ac:dyDescent="0.2">
      <c r="A188" s="1" t="s">
        <v>98</v>
      </c>
      <c r="B188" s="2" t="s">
        <v>24</v>
      </c>
      <c r="C188" s="2" t="s">
        <v>99</v>
      </c>
      <c r="D188" s="2" t="s">
        <v>100</v>
      </c>
      <c r="E188" s="2">
        <v>2020</v>
      </c>
      <c r="F188" s="2" t="s">
        <v>364</v>
      </c>
      <c r="G188" s="2" t="s">
        <v>1667</v>
      </c>
      <c r="H188" s="2" t="s">
        <v>1669</v>
      </c>
      <c r="I188" s="1" t="s">
        <v>14</v>
      </c>
      <c r="J188" s="1" t="s">
        <v>1517</v>
      </c>
      <c r="L188" s="34" t="s">
        <v>1670</v>
      </c>
      <c r="M188" s="35"/>
      <c r="N188" s="35">
        <v>255.43</v>
      </c>
      <c r="O188" s="35"/>
      <c r="P188" s="35"/>
      <c r="Q188" s="35"/>
      <c r="R188" s="14"/>
      <c r="S188" s="14"/>
      <c r="T188" s="35"/>
      <c r="U188" s="35"/>
      <c r="V188" s="61" t="s">
        <v>1742</v>
      </c>
    </row>
    <row r="189" spans="1:22" ht="25.5" x14ac:dyDescent="0.2">
      <c r="A189" s="1" t="s">
        <v>98</v>
      </c>
      <c r="B189" s="2" t="s">
        <v>24</v>
      </c>
      <c r="C189" s="2" t="s">
        <v>99</v>
      </c>
      <c r="D189" s="2" t="s">
        <v>100</v>
      </c>
      <c r="E189" s="2">
        <v>2020</v>
      </c>
      <c r="F189" s="2" t="s">
        <v>388</v>
      </c>
      <c r="G189" s="2" t="s">
        <v>1667</v>
      </c>
      <c r="H189" s="2" t="s">
        <v>1669</v>
      </c>
      <c r="I189" s="1" t="s">
        <v>14</v>
      </c>
      <c r="J189" s="1" t="s">
        <v>1615</v>
      </c>
      <c r="L189" s="34" t="s">
        <v>1670</v>
      </c>
      <c r="M189" s="35"/>
      <c r="N189" s="35">
        <v>142.88</v>
      </c>
      <c r="O189" s="35"/>
      <c r="P189" s="35"/>
      <c r="Q189" s="35"/>
      <c r="R189" s="35"/>
      <c r="S189" s="35"/>
      <c r="T189" s="35"/>
      <c r="U189" s="35"/>
      <c r="V189" s="61" t="s">
        <v>1742</v>
      </c>
    </row>
    <row r="190" spans="1:22" ht="120.75" customHeight="1" x14ac:dyDescent="0.2">
      <c r="A190" s="1" t="s">
        <v>353</v>
      </c>
      <c r="B190" s="2" t="s">
        <v>340</v>
      </c>
      <c r="C190" s="2" t="s">
        <v>354</v>
      </c>
      <c r="D190" s="2" t="s">
        <v>234</v>
      </c>
      <c r="E190" s="2">
        <v>2020</v>
      </c>
      <c r="F190" s="2" t="s">
        <v>13</v>
      </c>
      <c r="G190" s="2" t="s">
        <v>1667</v>
      </c>
      <c r="H190" s="2" t="s">
        <v>1669</v>
      </c>
      <c r="I190" s="1" t="s">
        <v>14</v>
      </c>
      <c r="J190" s="1" t="s">
        <v>528</v>
      </c>
      <c r="L190" s="5">
        <v>5.7000000000000002E-2</v>
      </c>
      <c r="M190" s="35">
        <v>82</v>
      </c>
      <c r="N190" s="35"/>
      <c r="O190" s="35"/>
      <c r="P190" s="35"/>
      <c r="Q190" s="35"/>
      <c r="R190" s="35"/>
      <c r="S190" s="35"/>
      <c r="T190" s="35"/>
      <c r="U190" s="35"/>
      <c r="V190" s="60" t="s">
        <v>1767</v>
      </c>
    </row>
    <row r="191" spans="1:22" ht="114.75" x14ac:dyDescent="0.2">
      <c r="A191" s="1" t="s">
        <v>353</v>
      </c>
      <c r="B191" s="2" t="s">
        <v>340</v>
      </c>
      <c r="C191" s="2" t="s">
        <v>354</v>
      </c>
      <c r="D191" s="2" t="s">
        <v>234</v>
      </c>
      <c r="E191" s="2">
        <v>2020</v>
      </c>
      <c r="F191" s="2" t="s">
        <v>188</v>
      </c>
      <c r="G191" s="2" t="s">
        <v>1667</v>
      </c>
      <c r="H191" s="2" t="s">
        <v>1669</v>
      </c>
      <c r="I191" s="1" t="s">
        <v>14</v>
      </c>
      <c r="J191" s="1" t="s">
        <v>590</v>
      </c>
      <c r="L191" s="34">
        <v>0.02</v>
      </c>
      <c r="M191" s="35">
        <v>64</v>
      </c>
      <c r="N191" s="35"/>
      <c r="O191" s="35"/>
      <c r="P191" s="35"/>
      <c r="Q191" s="35"/>
      <c r="R191" s="14"/>
      <c r="S191" s="35"/>
      <c r="T191" s="35"/>
      <c r="U191" s="35"/>
      <c r="V191" s="60" t="s">
        <v>1767</v>
      </c>
    </row>
    <row r="192" spans="1:22" ht="102" x14ac:dyDescent="0.2">
      <c r="A192" s="1" t="s">
        <v>353</v>
      </c>
      <c r="B192" s="2" t="s">
        <v>340</v>
      </c>
      <c r="C192" s="2" t="s">
        <v>354</v>
      </c>
      <c r="D192" s="2" t="s">
        <v>234</v>
      </c>
      <c r="E192" s="2">
        <v>2020</v>
      </c>
      <c r="F192" s="2" t="s">
        <v>203</v>
      </c>
      <c r="G192" s="2" t="s">
        <v>1667</v>
      </c>
      <c r="H192" s="2" t="s">
        <v>1669</v>
      </c>
      <c r="I192" s="1" t="s">
        <v>14</v>
      </c>
      <c r="J192" s="1" t="s">
        <v>629</v>
      </c>
      <c r="L192" s="5">
        <v>7.3999999999999996E-2</v>
      </c>
      <c r="M192" s="35">
        <f>31+16</f>
        <v>47</v>
      </c>
      <c r="N192" s="35"/>
      <c r="O192" s="35"/>
      <c r="P192" s="35"/>
      <c r="Q192" s="35"/>
      <c r="R192" s="14"/>
      <c r="S192" s="35"/>
      <c r="T192" s="35"/>
      <c r="U192" s="35"/>
      <c r="V192" s="60" t="s">
        <v>1767</v>
      </c>
    </row>
    <row r="193" spans="1:22" ht="114.75" x14ac:dyDescent="0.2">
      <c r="A193" s="1" t="s">
        <v>353</v>
      </c>
      <c r="B193" s="2" t="s">
        <v>340</v>
      </c>
      <c r="C193" s="2" t="s">
        <v>354</v>
      </c>
      <c r="D193" s="2" t="s">
        <v>234</v>
      </c>
      <c r="E193" s="2">
        <v>2020</v>
      </c>
      <c r="F193" s="2" t="s">
        <v>211</v>
      </c>
      <c r="G193" s="2" t="s">
        <v>1667</v>
      </c>
      <c r="H193" s="2" t="s">
        <v>1669</v>
      </c>
      <c r="I193" s="1" t="s">
        <v>14</v>
      </c>
      <c r="J193" s="1" t="s">
        <v>695</v>
      </c>
      <c r="L193" s="34">
        <v>3.6999999999999998E-2</v>
      </c>
      <c r="M193" s="35">
        <v>49</v>
      </c>
      <c r="N193" s="35"/>
      <c r="O193" s="35"/>
      <c r="P193" s="35"/>
      <c r="Q193" s="35"/>
      <c r="R193" s="14"/>
      <c r="S193" s="35"/>
      <c r="T193" s="35"/>
      <c r="U193" s="35"/>
      <c r="V193" s="60" t="s">
        <v>1767</v>
      </c>
    </row>
    <row r="194" spans="1:22" ht="140.25" x14ac:dyDescent="0.2">
      <c r="A194" s="1" t="s">
        <v>353</v>
      </c>
      <c r="B194" s="2" t="s">
        <v>340</v>
      </c>
      <c r="C194" s="2" t="s">
        <v>354</v>
      </c>
      <c r="D194" s="2" t="s">
        <v>234</v>
      </c>
      <c r="E194" s="2">
        <v>2020</v>
      </c>
      <c r="F194" s="2" t="s">
        <v>221</v>
      </c>
      <c r="G194" s="2" t="s">
        <v>1667</v>
      </c>
      <c r="H194" s="2" t="s">
        <v>1669</v>
      </c>
      <c r="I194" s="1" t="s">
        <v>14</v>
      </c>
      <c r="J194" s="1" t="s">
        <v>859</v>
      </c>
      <c r="L194" s="5">
        <v>7.4999999999999997E-2</v>
      </c>
      <c r="M194" s="35">
        <f>36+21</f>
        <v>57</v>
      </c>
      <c r="N194" s="35"/>
      <c r="O194" s="35"/>
      <c r="P194" s="35"/>
      <c r="Q194" s="35"/>
      <c r="R194" s="14"/>
      <c r="S194" s="14"/>
      <c r="T194" s="35"/>
      <c r="U194" s="35"/>
      <c r="V194" s="60" t="s">
        <v>1767</v>
      </c>
    </row>
    <row r="195" spans="1:22" ht="140.25" x14ac:dyDescent="0.2">
      <c r="A195" s="1" t="s">
        <v>353</v>
      </c>
      <c r="B195" s="2" t="s">
        <v>340</v>
      </c>
      <c r="C195" s="2" t="s">
        <v>354</v>
      </c>
      <c r="D195" s="2" t="s">
        <v>234</v>
      </c>
      <c r="E195" s="2">
        <v>2020</v>
      </c>
      <c r="F195" s="2" t="s">
        <v>256</v>
      </c>
      <c r="G195" s="2" t="s">
        <v>1667</v>
      </c>
      <c r="H195" s="2" t="s">
        <v>1669</v>
      </c>
      <c r="I195" s="1" t="s">
        <v>14</v>
      </c>
      <c r="J195" s="1" t="s">
        <v>878</v>
      </c>
      <c r="L195" s="34">
        <v>2.9000000000000001E-2</v>
      </c>
      <c r="M195" s="35">
        <v>48</v>
      </c>
      <c r="N195" s="35"/>
      <c r="O195" s="35"/>
      <c r="P195" s="35"/>
      <c r="Q195" s="35"/>
      <c r="R195" s="14"/>
      <c r="S195" s="14"/>
      <c r="T195" s="35"/>
      <c r="U195" s="35"/>
      <c r="V195" s="60" t="s">
        <v>1767</v>
      </c>
    </row>
    <row r="196" spans="1:22" ht="94.5" customHeight="1" x14ac:dyDescent="0.2">
      <c r="A196" s="1" t="s">
        <v>353</v>
      </c>
      <c r="B196" s="2" t="s">
        <v>340</v>
      </c>
      <c r="C196" s="2" t="s">
        <v>354</v>
      </c>
      <c r="D196" s="2" t="s">
        <v>234</v>
      </c>
      <c r="E196" s="2">
        <v>2020</v>
      </c>
      <c r="F196" s="2" t="s">
        <v>276</v>
      </c>
      <c r="G196" s="2" t="s">
        <v>1667</v>
      </c>
      <c r="H196" s="2" t="s">
        <v>1669</v>
      </c>
      <c r="I196" s="1" t="s">
        <v>14</v>
      </c>
      <c r="J196" s="1" t="s">
        <v>1061</v>
      </c>
      <c r="L196" s="5" t="s">
        <v>1728</v>
      </c>
      <c r="M196" s="35">
        <f>28*0.8+19</f>
        <v>41.400000000000006</v>
      </c>
      <c r="N196" s="35"/>
      <c r="O196" s="35"/>
      <c r="P196" s="35"/>
      <c r="Q196" s="35"/>
      <c r="R196" s="14"/>
      <c r="S196" s="14"/>
      <c r="T196" s="35"/>
      <c r="U196" s="35"/>
      <c r="V196" s="60" t="s">
        <v>1730</v>
      </c>
    </row>
    <row r="197" spans="1:22" ht="102" x14ac:dyDescent="0.2">
      <c r="A197" s="1" t="s">
        <v>353</v>
      </c>
      <c r="B197" s="2" t="s">
        <v>340</v>
      </c>
      <c r="C197" s="2" t="s">
        <v>354</v>
      </c>
      <c r="D197" s="2" t="s">
        <v>234</v>
      </c>
      <c r="E197" s="2">
        <v>2020</v>
      </c>
      <c r="F197" s="2" t="s">
        <v>291</v>
      </c>
      <c r="G197" s="2" t="s">
        <v>1667</v>
      </c>
      <c r="H197" s="2" t="s">
        <v>1669</v>
      </c>
      <c r="I197" s="1" t="s">
        <v>14</v>
      </c>
      <c r="J197" s="1" t="s">
        <v>1102</v>
      </c>
      <c r="L197" s="34" t="s">
        <v>1727</v>
      </c>
      <c r="M197" s="35">
        <f>31+61*0.8</f>
        <v>79.800000000000011</v>
      </c>
      <c r="N197" s="35"/>
      <c r="O197" s="35"/>
      <c r="P197" s="35"/>
      <c r="Q197" s="35"/>
      <c r="R197" s="14"/>
      <c r="S197" s="14"/>
      <c r="T197" s="35"/>
      <c r="U197" s="35"/>
      <c r="V197" s="60" t="s">
        <v>1729</v>
      </c>
    </row>
    <row r="198" spans="1:22" ht="89.25" x14ac:dyDescent="0.2">
      <c r="A198" s="1" t="s">
        <v>353</v>
      </c>
      <c r="B198" s="2" t="s">
        <v>340</v>
      </c>
      <c r="C198" s="2" t="s">
        <v>354</v>
      </c>
      <c r="D198" s="2" t="s">
        <v>234</v>
      </c>
      <c r="E198" s="2">
        <v>2020</v>
      </c>
      <c r="F198" s="2" t="s">
        <v>311</v>
      </c>
      <c r="G198" s="2" t="s">
        <v>1667</v>
      </c>
      <c r="H198" s="2" t="s">
        <v>1669</v>
      </c>
      <c r="I198" s="1" t="s">
        <v>14</v>
      </c>
      <c r="J198" s="1" t="s">
        <v>1205</v>
      </c>
      <c r="L198" s="34">
        <v>3.5000000000000003E-2</v>
      </c>
      <c r="M198" s="35">
        <v>46</v>
      </c>
      <c r="N198" s="35"/>
      <c r="O198" s="35"/>
      <c r="P198" s="35"/>
      <c r="Q198" s="35"/>
      <c r="R198" s="14"/>
      <c r="S198" s="14"/>
      <c r="T198" s="35"/>
      <c r="U198" s="35"/>
      <c r="V198" s="60" t="s">
        <v>1767</v>
      </c>
    </row>
    <row r="199" spans="1:22" ht="89.25" x14ac:dyDescent="0.2">
      <c r="A199" s="1" t="s">
        <v>353</v>
      </c>
      <c r="B199" s="2" t="s">
        <v>340</v>
      </c>
      <c r="C199" s="2" t="s">
        <v>354</v>
      </c>
      <c r="D199" s="2" t="s">
        <v>234</v>
      </c>
      <c r="E199" s="2">
        <v>2020</v>
      </c>
      <c r="F199" s="2" t="s">
        <v>337</v>
      </c>
      <c r="G199" s="2" t="s">
        <v>1667</v>
      </c>
      <c r="H199" s="2" t="s">
        <v>1669</v>
      </c>
      <c r="I199" s="1" t="s">
        <v>14</v>
      </c>
      <c r="J199" s="1" t="s">
        <v>1466</v>
      </c>
      <c r="L199" s="34" t="s">
        <v>1731</v>
      </c>
      <c r="M199" s="35">
        <f>19+40*0.8</f>
        <v>51</v>
      </c>
      <c r="N199" s="35"/>
      <c r="O199" s="35"/>
      <c r="P199" s="35"/>
      <c r="Q199" s="35"/>
      <c r="R199" s="14"/>
      <c r="S199" s="14"/>
      <c r="T199" s="35"/>
      <c r="U199" s="35"/>
      <c r="V199" s="60" t="s">
        <v>1732</v>
      </c>
    </row>
    <row r="200" spans="1:22" ht="178.5" x14ac:dyDescent="0.2">
      <c r="A200" s="1" t="s">
        <v>353</v>
      </c>
      <c r="B200" s="2" t="s">
        <v>340</v>
      </c>
      <c r="C200" s="2" t="s">
        <v>354</v>
      </c>
      <c r="D200" s="2" t="s">
        <v>234</v>
      </c>
      <c r="E200" s="2">
        <v>2020</v>
      </c>
      <c r="F200" s="2" t="s">
        <v>364</v>
      </c>
      <c r="G200" s="2" t="s">
        <v>1667</v>
      </c>
      <c r="H200" s="2" t="s">
        <v>1669</v>
      </c>
      <c r="I200" s="1" t="s">
        <v>14</v>
      </c>
      <c r="J200" s="1" t="s">
        <v>1519</v>
      </c>
      <c r="L200" s="34">
        <v>3.5999999999999997E-2</v>
      </c>
      <c r="M200" s="35">
        <f>14+19+42</f>
        <v>75</v>
      </c>
      <c r="N200" s="35"/>
      <c r="O200" s="35"/>
      <c r="P200" s="35"/>
      <c r="Q200" s="35"/>
      <c r="R200" s="14"/>
      <c r="S200" s="14"/>
      <c r="T200" s="35"/>
      <c r="U200" s="35"/>
      <c r="V200" s="60" t="s">
        <v>1767</v>
      </c>
    </row>
    <row r="201" spans="1:22" ht="89.25" x14ac:dyDescent="0.2">
      <c r="A201" s="1" t="s">
        <v>353</v>
      </c>
      <c r="B201" s="2" t="s">
        <v>340</v>
      </c>
      <c r="C201" s="2" t="s">
        <v>354</v>
      </c>
      <c r="D201" s="2" t="s">
        <v>234</v>
      </c>
      <c r="E201" s="2">
        <v>2020</v>
      </c>
      <c r="F201" s="2" t="s">
        <v>388</v>
      </c>
      <c r="G201" s="2" t="s">
        <v>1667</v>
      </c>
      <c r="H201" s="2" t="s">
        <v>1669</v>
      </c>
      <c r="I201" s="1" t="s">
        <v>14</v>
      </c>
      <c r="J201" s="1" t="s">
        <v>1661</v>
      </c>
      <c r="L201" s="5">
        <v>0.15</v>
      </c>
      <c r="M201" s="35">
        <f>46*0.8</f>
        <v>36.800000000000004</v>
      </c>
      <c r="N201" s="35"/>
      <c r="O201" s="35"/>
      <c r="P201" s="35"/>
      <c r="Q201" s="35"/>
      <c r="R201" s="35"/>
      <c r="S201" s="35"/>
      <c r="T201" s="35"/>
      <c r="U201" s="35"/>
      <c r="V201" s="60" t="s">
        <v>1768</v>
      </c>
    </row>
    <row r="202" spans="1:22" ht="38.25" x14ac:dyDescent="0.2">
      <c r="A202" s="1" t="s">
        <v>342</v>
      </c>
      <c r="B202" s="2" t="s">
        <v>343</v>
      </c>
      <c r="C202" s="2" t="s">
        <v>344</v>
      </c>
      <c r="D202" s="2" t="s">
        <v>187</v>
      </c>
      <c r="E202" s="2">
        <v>2020</v>
      </c>
      <c r="F202" s="2" t="s">
        <v>203</v>
      </c>
      <c r="G202" s="2" t="s">
        <v>1669</v>
      </c>
      <c r="H202" s="2" t="s">
        <v>1669</v>
      </c>
      <c r="I202" s="1" t="s">
        <v>633</v>
      </c>
      <c r="J202" s="1" t="s">
        <v>633</v>
      </c>
      <c r="L202" s="34"/>
      <c r="M202" s="35"/>
      <c r="N202" s="35"/>
      <c r="O202" s="35"/>
      <c r="P202" s="35"/>
      <c r="Q202" s="35"/>
      <c r="R202" s="14"/>
      <c r="S202" s="35"/>
      <c r="T202" s="35"/>
      <c r="U202" s="35"/>
      <c r="V202" s="60" t="s">
        <v>1683</v>
      </c>
    </row>
    <row r="203" spans="1:22" ht="51" x14ac:dyDescent="0.2">
      <c r="A203" s="1" t="s">
        <v>342</v>
      </c>
      <c r="B203" s="2" t="s">
        <v>343</v>
      </c>
      <c r="C203" s="2" t="s">
        <v>344</v>
      </c>
      <c r="D203" s="2" t="s">
        <v>187</v>
      </c>
      <c r="E203" s="2">
        <v>2020</v>
      </c>
      <c r="F203" s="2" t="s">
        <v>311</v>
      </c>
      <c r="G203" s="2" t="s">
        <v>1669</v>
      </c>
      <c r="H203" s="2" t="s">
        <v>1669</v>
      </c>
      <c r="I203" s="1" t="s">
        <v>1256</v>
      </c>
      <c r="J203" s="1" t="s">
        <v>1257</v>
      </c>
      <c r="L203" s="34" t="s">
        <v>1670</v>
      </c>
      <c r="M203" s="35"/>
      <c r="N203" s="35"/>
      <c r="O203" s="35"/>
      <c r="P203" s="35"/>
      <c r="Q203" s="35"/>
      <c r="R203" s="14">
        <v>432</v>
      </c>
      <c r="S203" s="14"/>
      <c r="T203" s="35"/>
      <c r="U203" s="35"/>
      <c r="V203" s="60" t="s">
        <v>1682</v>
      </c>
    </row>
    <row r="204" spans="1:22" ht="25.5" x14ac:dyDescent="0.2">
      <c r="A204" s="1" t="s">
        <v>1096</v>
      </c>
      <c r="B204" s="2" t="s">
        <v>213</v>
      </c>
      <c r="C204" s="2" t="s">
        <v>344</v>
      </c>
      <c r="D204" s="2" t="s">
        <v>187</v>
      </c>
      <c r="E204" s="2">
        <v>2020</v>
      </c>
      <c r="F204" s="2" t="s">
        <v>291</v>
      </c>
      <c r="G204" s="2" t="s">
        <v>1667</v>
      </c>
      <c r="H204" s="2" t="s">
        <v>1669</v>
      </c>
      <c r="I204" s="1" t="s">
        <v>14</v>
      </c>
      <c r="J204" s="1" t="s">
        <v>1097</v>
      </c>
      <c r="L204" s="34" t="s">
        <v>1670</v>
      </c>
      <c r="M204" s="35"/>
      <c r="N204" s="35"/>
      <c r="O204" s="35"/>
      <c r="P204" s="35"/>
      <c r="Q204" s="35"/>
      <c r="R204" s="14"/>
      <c r="S204" s="14"/>
      <c r="T204" s="35"/>
      <c r="U204" s="35"/>
      <c r="V204" s="60" t="s">
        <v>1683</v>
      </c>
    </row>
    <row r="205" spans="1:22" ht="25.5" x14ac:dyDescent="0.2">
      <c r="A205" s="1" t="s">
        <v>1096</v>
      </c>
      <c r="B205" s="2" t="s">
        <v>213</v>
      </c>
      <c r="C205" s="2" t="s">
        <v>344</v>
      </c>
      <c r="D205" s="2" t="s">
        <v>187</v>
      </c>
      <c r="E205" s="2">
        <v>2020</v>
      </c>
      <c r="F205" s="2" t="s">
        <v>337</v>
      </c>
      <c r="G205" s="2" t="s">
        <v>1667</v>
      </c>
      <c r="H205" s="2" t="s">
        <v>1669</v>
      </c>
      <c r="I205" s="1" t="s">
        <v>14</v>
      </c>
      <c r="J205" s="1" t="s">
        <v>1410</v>
      </c>
      <c r="L205" s="34" t="s">
        <v>1670</v>
      </c>
      <c r="M205" s="35"/>
      <c r="N205" s="35"/>
      <c r="O205" s="35"/>
      <c r="P205" s="35"/>
      <c r="Q205" s="35"/>
      <c r="R205" s="14"/>
      <c r="S205" s="14"/>
      <c r="T205" s="35"/>
      <c r="U205" s="35"/>
      <c r="V205" s="60" t="s">
        <v>1683</v>
      </c>
    </row>
    <row r="206" spans="1:22" ht="25.5" x14ac:dyDescent="0.2">
      <c r="A206" s="1" t="s">
        <v>309</v>
      </c>
      <c r="B206" s="2" t="s">
        <v>213</v>
      </c>
      <c r="C206" s="2" t="s">
        <v>310</v>
      </c>
      <c r="D206" s="2" t="s">
        <v>132</v>
      </c>
      <c r="E206" s="2">
        <v>2020</v>
      </c>
      <c r="F206" s="2" t="s">
        <v>311</v>
      </c>
      <c r="G206" s="2" t="s">
        <v>1667</v>
      </c>
      <c r="H206" s="2" t="s">
        <v>1669</v>
      </c>
      <c r="I206" s="1" t="s">
        <v>14</v>
      </c>
      <c r="J206" s="1" t="s">
        <v>1238</v>
      </c>
      <c r="L206" s="34" t="s">
        <v>1670</v>
      </c>
      <c r="M206" s="35"/>
      <c r="N206" s="35"/>
      <c r="O206" s="35"/>
      <c r="P206" s="35"/>
      <c r="Q206" s="35"/>
      <c r="R206" s="14"/>
      <c r="S206" s="14"/>
      <c r="T206" s="35"/>
      <c r="U206" s="35"/>
      <c r="V206" s="60" t="s">
        <v>1683</v>
      </c>
    </row>
    <row r="207" spans="1:22" ht="51" x14ac:dyDescent="0.2">
      <c r="A207" s="1" t="s">
        <v>474</v>
      </c>
      <c r="B207" s="2" t="s">
        <v>196</v>
      </c>
      <c r="C207" s="2" t="s">
        <v>475</v>
      </c>
      <c r="D207" s="2" t="s">
        <v>297</v>
      </c>
      <c r="E207" s="2">
        <v>2020</v>
      </c>
      <c r="F207" s="2" t="s">
        <v>276</v>
      </c>
      <c r="G207" s="2" t="s">
        <v>1669</v>
      </c>
      <c r="H207" s="2" t="s">
        <v>1669</v>
      </c>
      <c r="I207" s="1" t="s">
        <v>1026</v>
      </c>
      <c r="J207" s="1" t="s">
        <v>1027</v>
      </c>
      <c r="L207" s="34"/>
      <c r="M207" s="35"/>
      <c r="N207" s="35"/>
      <c r="O207" s="35"/>
      <c r="P207" s="35"/>
      <c r="Q207" s="35"/>
      <c r="R207" s="14"/>
      <c r="S207" s="14"/>
      <c r="T207" s="35"/>
      <c r="U207" s="35"/>
      <c r="V207" s="60" t="s">
        <v>1695</v>
      </c>
    </row>
    <row r="208" spans="1:22" ht="38.25" x14ac:dyDescent="0.2">
      <c r="A208" s="1" t="s">
        <v>474</v>
      </c>
      <c r="B208" s="2" t="s">
        <v>196</v>
      </c>
      <c r="C208" s="2" t="s">
        <v>475</v>
      </c>
      <c r="D208" s="2" t="s">
        <v>297</v>
      </c>
      <c r="E208" s="2">
        <v>2020</v>
      </c>
      <c r="F208" s="2" t="s">
        <v>311</v>
      </c>
      <c r="G208" s="2" t="s">
        <v>1669</v>
      </c>
      <c r="H208" s="2" t="s">
        <v>1669</v>
      </c>
      <c r="I208" s="1" t="s">
        <v>1239</v>
      </c>
      <c r="J208" s="1" t="s">
        <v>1240</v>
      </c>
      <c r="L208" s="34"/>
      <c r="M208" s="35"/>
      <c r="N208" s="35"/>
      <c r="O208" s="35"/>
      <c r="P208" s="35"/>
      <c r="Q208" s="35"/>
      <c r="R208" s="14"/>
      <c r="S208" s="14"/>
      <c r="T208" s="35"/>
      <c r="U208" s="35"/>
      <c r="V208" s="60" t="s">
        <v>1695</v>
      </c>
    </row>
    <row r="209" spans="1:22" ht="63.75" x14ac:dyDescent="0.2">
      <c r="A209" s="1" t="s">
        <v>351</v>
      </c>
      <c r="B209" s="2" t="s">
        <v>38</v>
      </c>
      <c r="C209" s="2" t="s">
        <v>352</v>
      </c>
      <c r="D209" s="2" t="s">
        <v>58</v>
      </c>
      <c r="E209" s="2">
        <v>2020</v>
      </c>
      <c r="F209" s="2" t="s">
        <v>256</v>
      </c>
      <c r="G209" s="2" t="s">
        <v>1667</v>
      </c>
      <c r="H209" s="2" t="s">
        <v>1669</v>
      </c>
      <c r="I209" s="1" t="s">
        <v>14</v>
      </c>
      <c r="J209" s="1" t="s">
        <v>940</v>
      </c>
      <c r="L209" s="34"/>
      <c r="M209" s="35"/>
      <c r="N209" s="35"/>
      <c r="O209" s="35"/>
      <c r="P209" s="35"/>
      <c r="Q209" s="35"/>
      <c r="R209" s="14"/>
      <c r="S209" s="14"/>
      <c r="T209" s="35"/>
      <c r="U209" s="35"/>
      <c r="V209" s="60" t="s">
        <v>1697</v>
      </c>
    </row>
    <row r="210" spans="1:22" ht="63.75" x14ac:dyDescent="0.2">
      <c r="A210" s="1" t="s">
        <v>351</v>
      </c>
      <c r="B210" s="2" t="s">
        <v>38</v>
      </c>
      <c r="C210" s="2" t="s">
        <v>352</v>
      </c>
      <c r="D210" s="2" t="s">
        <v>58</v>
      </c>
      <c r="E210" s="2">
        <v>2020</v>
      </c>
      <c r="F210" s="2" t="s">
        <v>388</v>
      </c>
      <c r="G210" s="2" t="s">
        <v>1667</v>
      </c>
      <c r="H210" s="2" t="s">
        <v>1669</v>
      </c>
      <c r="I210" s="1" t="s">
        <v>14</v>
      </c>
      <c r="J210" s="1" t="s">
        <v>1634</v>
      </c>
      <c r="L210" s="34"/>
      <c r="M210" s="35"/>
      <c r="N210" s="35"/>
      <c r="O210" s="35"/>
      <c r="P210" s="35"/>
      <c r="Q210" s="35"/>
      <c r="R210" s="35"/>
      <c r="S210" s="35"/>
      <c r="T210" s="35"/>
      <c r="U210" s="35"/>
      <c r="V210" s="60" t="s">
        <v>1697</v>
      </c>
    </row>
    <row r="211" spans="1:22" ht="51" x14ac:dyDescent="0.2">
      <c r="A211" s="1" t="s">
        <v>160</v>
      </c>
      <c r="B211" s="2" t="s">
        <v>48</v>
      </c>
      <c r="C211" s="2" t="s">
        <v>161</v>
      </c>
      <c r="D211" s="2" t="s">
        <v>121</v>
      </c>
      <c r="E211" s="2">
        <v>2020</v>
      </c>
      <c r="F211" s="2" t="s">
        <v>13</v>
      </c>
      <c r="G211" s="2" t="s">
        <v>1667</v>
      </c>
      <c r="H211" s="2" t="s">
        <v>1669</v>
      </c>
      <c r="I211" s="1" t="s">
        <v>14</v>
      </c>
      <c r="J211" s="1" t="s">
        <v>513</v>
      </c>
      <c r="L211" s="34">
        <v>0.20430000000000001</v>
      </c>
      <c r="M211" s="35"/>
      <c r="N211" s="35">
        <v>163.22999999999999</v>
      </c>
      <c r="O211" s="35"/>
      <c r="P211" s="35"/>
      <c r="R211" s="35"/>
      <c r="S211" s="35"/>
      <c r="T211" s="35"/>
      <c r="U211" s="35"/>
      <c r="V211" s="60" t="s">
        <v>1750</v>
      </c>
    </row>
    <row r="212" spans="1:22" ht="51" x14ac:dyDescent="0.2">
      <c r="A212" s="1" t="s">
        <v>160</v>
      </c>
      <c r="B212" s="2" t="s">
        <v>48</v>
      </c>
      <c r="C212" s="2" t="s">
        <v>161</v>
      </c>
      <c r="D212" s="2" t="s">
        <v>121</v>
      </c>
      <c r="E212" s="2">
        <v>2020</v>
      </c>
      <c r="F212" s="2" t="s">
        <v>188</v>
      </c>
      <c r="G212" s="2" t="s">
        <v>1667</v>
      </c>
      <c r="H212" s="2" t="s">
        <v>1669</v>
      </c>
      <c r="I212" s="1" t="s">
        <v>14</v>
      </c>
      <c r="J212" s="1" t="s">
        <v>562</v>
      </c>
      <c r="L212" s="34">
        <v>0.20319999999999999</v>
      </c>
      <c r="M212" s="35"/>
      <c r="N212" s="35">
        <v>174.29</v>
      </c>
      <c r="O212" s="35"/>
      <c r="P212" s="35"/>
      <c r="R212" s="35"/>
      <c r="S212" s="35"/>
      <c r="T212" s="35"/>
      <c r="U212" s="35"/>
      <c r="V212" s="60" t="s">
        <v>1750</v>
      </c>
    </row>
    <row r="213" spans="1:22" ht="51" x14ac:dyDescent="0.2">
      <c r="A213" s="1" t="s">
        <v>160</v>
      </c>
      <c r="B213" s="2" t="s">
        <v>48</v>
      </c>
      <c r="C213" s="2" t="s">
        <v>161</v>
      </c>
      <c r="D213" s="2" t="s">
        <v>121</v>
      </c>
      <c r="E213" s="2">
        <v>2020</v>
      </c>
      <c r="F213" s="2" t="s">
        <v>203</v>
      </c>
      <c r="G213" s="2" t="s">
        <v>1667</v>
      </c>
      <c r="H213" s="2" t="s">
        <v>1669</v>
      </c>
      <c r="I213" s="1" t="s">
        <v>14</v>
      </c>
      <c r="J213" s="1" t="s">
        <v>677</v>
      </c>
      <c r="L213" s="34">
        <v>0.21</v>
      </c>
      <c r="M213" s="35"/>
      <c r="N213" s="35">
        <v>210.03</v>
      </c>
      <c r="O213" s="35"/>
      <c r="P213" s="35"/>
      <c r="R213" s="14"/>
      <c r="S213" s="35"/>
      <c r="T213" s="35"/>
      <c r="U213" s="35"/>
      <c r="V213" s="60" t="s">
        <v>1750</v>
      </c>
    </row>
    <row r="214" spans="1:22" ht="51" x14ac:dyDescent="0.2">
      <c r="A214" s="1" t="s">
        <v>160</v>
      </c>
      <c r="B214" s="2" t="s">
        <v>48</v>
      </c>
      <c r="C214" s="2" t="s">
        <v>161</v>
      </c>
      <c r="D214" s="2" t="s">
        <v>121</v>
      </c>
      <c r="E214" s="2">
        <v>2020</v>
      </c>
      <c r="F214" s="2" t="s">
        <v>211</v>
      </c>
      <c r="G214" s="2" t="s">
        <v>1667</v>
      </c>
      <c r="H214" s="2" t="s">
        <v>1669</v>
      </c>
      <c r="I214" s="1" t="s">
        <v>14</v>
      </c>
      <c r="J214" s="1" t="s">
        <v>728</v>
      </c>
      <c r="L214" s="34">
        <v>0.20499999999999999</v>
      </c>
      <c r="M214" s="35"/>
      <c r="N214" s="35">
        <v>136.54</v>
      </c>
      <c r="O214" s="35"/>
      <c r="P214" s="35"/>
      <c r="R214" s="14"/>
      <c r="S214" s="35"/>
      <c r="T214" s="35"/>
      <c r="U214" s="35"/>
      <c r="V214" s="60" t="s">
        <v>1750</v>
      </c>
    </row>
    <row r="215" spans="1:22" ht="51" x14ac:dyDescent="0.2">
      <c r="A215" s="1" t="s">
        <v>160</v>
      </c>
      <c r="B215" s="2" t="s">
        <v>48</v>
      </c>
      <c r="C215" s="2" t="s">
        <v>161</v>
      </c>
      <c r="D215" s="2" t="s">
        <v>121</v>
      </c>
      <c r="E215" s="2">
        <v>2020</v>
      </c>
      <c r="F215" s="2" t="s">
        <v>221</v>
      </c>
      <c r="G215" s="2" t="s">
        <v>1667</v>
      </c>
      <c r="H215" s="2" t="s">
        <v>1669</v>
      </c>
      <c r="I215" s="1" t="s">
        <v>14</v>
      </c>
      <c r="J215" s="1" t="s">
        <v>831</v>
      </c>
      <c r="L215" s="34">
        <v>0.217</v>
      </c>
      <c r="M215" s="35"/>
      <c r="N215" s="35">
        <v>144.34</v>
      </c>
      <c r="O215" s="35"/>
      <c r="P215" s="35"/>
      <c r="R215" s="14"/>
      <c r="S215" s="14"/>
      <c r="T215" s="35"/>
      <c r="U215" s="35"/>
      <c r="V215" s="60" t="s">
        <v>1750</v>
      </c>
    </row>
    <row r="216" spans="1:22" ht="51" x14ac:dyDescent="0.2">
      <c r="A216" s="1" t="s">
        <v>160</v>
      </c>
      <c r="B216" s="2" t="s">
        <v>48</v>
      </c>
      <c r="C216" s="2" t="s">
        <v>161</v>
      </c>
      <c r="D216" s="2" t="s">
        <v>121</v>
      </c>
      <c r="E216" s="2">
        <v>2020</v>
      </c>
      <c r="F216" s="2" t="s">
        <v>256</v>
      </c>
      <c r="G216" s="2" t="s">
        <v>1667</v>
      </c>
      <c r="H216" s="2" t="s">
        <v>1669</v>
      </c>
      <c r="I216" s="1" t="s">
        <v>14</v>
      </c>
      <c r="J216" s="1" t="s">
        <v>915</v>
      </c>
      <c r="L216" s="34">
        <v>0.21199999999999999</v>
      </c>
      <c r="M216" s="35"/>
      <c r="N216" s="35">
        <v>198.65</v>
      </c>
      <c r="O216" s="35"/>
      <c r="P216" s="35"/>
      <c r="R216" s="14"/>
      <c r="S216" s="14"/>
      <c r="T216" s="35"/>
      <c r="U216" s="35"/>
      <c r="V216" s="60" t="s">
        <v>1750</v>
      </c>
    </row>
    <row r="217" spans="1:22" ht="38.25" x14ac:dyDescent="0.2">
      <c r="A217" s="1" t="s">
        <v>160</v>
      </c>
      <c r="B217" s="2" t="s">
        <v>48</v>
      </c>
      <c r="C217" s="2" t="s">
        <v>161</v>
      </c>
      <c r="D217" s="2" t="s">
        <v>121</v>
      </c>
      <c r="E217" s="2">
        <v>2020</v>
      </c>
      <c r="F217" s="2" t="s">
        <v>276</v>
      </c>
      <c r="G217" s="2" t="s">
        <v>1667</v>
      </c>
      <c r="H217" s="2" t="s">
        <v>1669</v>
      </c>
      <c r="I217" s="1" t="s">
        <v>14</v>
      </c>
      <c r="J217" s="1" t="s">
        <v>1051</v>
      </c>
      <c r="L217" s="34">
        <v>0.22</v>
      </c>
      <c r="M217" s="35"/>
      <c r="N217" s="35">
        <v>184.2</v>
      </c>
      <c r="O217" s="35"/>
      <c r="P217" s="35"/>
      <c r="Q217" s="35"/>
      <c r="R217" s="14"/>
      <c r="S217" s="14"/>
      <c r="T217" s="35"/>
      <c r="U217" s="35"/>
    </row>
    <row r="218" spans="1:22" ht="38.25" x14ac:dyDescent="0.2">
      <c r="A218" s="1" t="s">
        <v>160</v>
      </c>
      <c r="B218" s="2" t="s">
        <v>48</v>
      </c>
      <c r="C218" s="2" t="s">
        <v>161</v>
      </c>
      <c r="D218" s="2" t="s">
        <v>121</v>
      </c>
      <c r="E218" s="2">
        <v>2020</v>
      </c>
      <c r="F218" s="2" t="s">
        <v>291</v>
      </c>
      <c r="G218" s="2" t="s">
        <v>1667</v>
      </c>
      <c r="H218" s="2" t="s">
        <v>1669</v>
      </c>
      <c r="I218" s="1" t="s">
        <v>14</v>
      </c>
      <c r="J218" s="1" t="s">
        <v>1157</v>
      </c>
      <c r="L218" s="34">
        <v>0.20100000000000001</v>
      </c>
      <c r="M218" s="35"/>
      <c r="N218" s="35">
        <v>165.06</v>
      </c>
      <c r="O218" s="35"/>
      <c r="P218" s="35"/>
      <c r="Q218" s="35"/>
      <c r="R218" s="14"/>
      <c r="S218" s="14"/>
      <c r="T218" s="35"/>
      <c r="U218" s="35"/>
    </row>
    <row r="219" spans="1:22" ht="38.25" x14ac:dyDescent="0.2">
      <c r="A219" s="1" t="s">
        <v>160</v>
      </c>
      <c r="B219" s="2" t="s">
        <v>48</v>
      </c>
      <c r="C219" s="2" t="s">
        <v>161</v>
      </c>
      <c r="D219" s="2" t="s">
        <v>121</v>
      </c>
      <c r="E219" s="2">
        <v>2020</v>
      </c>
      <c r="F219" s="2" t="s">
        <v>311</v>
      </c>
      <c r="G219" s="2" t="s">
        <v>1667</v>
      </c>
      <c r="H219" s="2" t="s">
        <v>1669</v>
      </c>
      <c r="I219" s="1" t="s">
        <v>14</v>
      </c>
      <c r="J219" s="1" t="s">
        <v>1260</v>
      </c>
      <c r="L219" s="34">
        <v>0.20799999999999999</v>
      </c>
      <c r="M219" s="35"/>
      <c r="N219" s="35">
        <v>150.80000000000001</v>
      </c>
      <c r="O219" s="35"/>
      <c r="P219" s="35"/>
      <c r="Q219" s="35"/>
      <c r="R219" s="14"/>
      <c r="S219" s="14"/>
      <c r="T219" s="35"/>
      <c r="U219" s="35"/>
    </row>
    <row r="220" spans="1:22" ht="38.25" x14ac:dyDescent="0.2">
      <c r="A220" s="1" t="s">
        <v>160</v>
      </c>
      <c r="B220" s="2" t="s">
        <v>48</v>
      </c>
      <c r="C220" s="2" t="s">
        <v>161</v>
      </c>
      <c r="D220" s="2" t="s">
        <v>121</v>
      </c>
      <c r="E220" s="2">
        <v>2020</v>
      </c>
      <c r="F220" s="2" t="s">
        <v>337</v>
      </c>
      <c r="G220" s="2" t="s">
        <v>1667</v>
      </c>
      <c r="H220" s="2" t="s">
        <v>1669</v>
      </c>
      <c r="I220" s="1" t="s">
        <v>14</v>
      </c>
      <c r="J220" s="1" t="s">
        <v>1404</v>
      </c>
      <c r="L220" s="34">
        <v>0.20799999999999999</v>
      </c>
      <c r="M220" s="35"/>
      <c r="N220" s="35">
        <v>196.8</v>
      </c>
      <c r="O220" s="35"/>
      <c r="P220" s="35"/>
      <c r="Q220" s="35"/>
      <c r="R220" s="14"/>
      <c r="S220" s="14"/>
      <c r="T220" s="35"/>
      <c r="U220" s="35"/>
    </row>
    <row r="221" spans="1:22" ht="38.25" x14ac:dyDescent="0.2">
      <c r="A221" s="1" t="s">
        <v>160</v>
      </c>
      <c r="B221" s="2" t="s">
        <v>48</v>
      </c>
      <c r="C221" s="2" t="s">
        <v>161</v>
      </c>
      <c r="D221" s="2" t="s">
        <v>121</v>
      </c>
      <c r="E221" s="2">
        <v>2020</v>
      </c>
      <c r="F221" s="2" t="s">
        <v>364</v>
      </c>
      <c r="G221" s="2" t="s">
        <v>1667</v>
      </c>
      <c r="H221" s="2" t="s">
        <v>1669</v>
      </c>
      <c r="I221" s="1" t="s">
        <v>14</v>
      </c>
      <c r="J221" s="1" t="s">
        <v>1579</v>
      </c>
      <c r="L221" s="34">
        <v>0.21099999999999999</v>
      </c>
      <c r="M221" s="35"/>
      <c r="N221" s="35">
        <v>217.6</v>
      </c>
      <c r="O221" s="35"/>
      <c r="P221" s="35"/>
      <c r="Q221" s="35"/>
      <c r="R221" s="14"/>
      <c r="S221" s="14"/>
      <c r="T221" s="35"/>
      <c r="U221" s="35"/>
    </row>
    <row r="222" spans="1:22" ht="38.25" x14ac:dyDescent="0.2">
      <c r="A222" s="1" t="s">
        <v>160</v>
      </c>
      <c r="B222" s="2" t="s">
        <v>48</v>
      </c>
      <c r="C222" s="2" t="s">
        <v>161</v>
      </c>
      <c r="D222" s="2" t="s">
        <v>121</v>
      </c>
      <c r="E222" s="2">
        <v>2020</v>
      </c>
      <c r="F222" s="2" t="s">
        <v>388</v>
      </c>
      <c r="G222" s="2" t="s">
        <v>1667</v>
      </c>
      <c r="H222" s="2" t="s">
        <v>1669</v>
      </c>
      <c r="I222" s="1" t="s">
        <v>14</v>
      </c>
      <c r="J222" s="1" t="s">
        <v>1655</v>
      </c>
      <c r="L222" s="34">
        <v>0.20499999999999999</v>
      </c>
      <c r="M222" s="35"/>
      <c r="N222" s="35">
        <v>226.3</v>
      </c>
      <c r="O222" s="35"/>
      <c r="P222" s="35"/>
      <c r="Q222" s="35"/>
      <c r="R222" s="35"/>
      <c r="S222" s="35"/>
      <c r="T222" s="35"/>
      <c r="U222" s="35"/>
    </row>
    <row r="223" spans="1:22" ht="102" x14ac:dyDescent="0.2">
      <c r="A223" s="1" t="s">
        <v>72</v>
      </c>
      <c r="B223" s="2" t="s">
        <v>38</v>
      </c>
      <c r="C223" s="2" t="s">
        <v>73</v>
      </c>
      <c r="D223" s="2" t="s">
        <v>74</v>
      </c>
      <c r="E223" s="2">
        <v>2020</v>
      </c>
      <c r="F223" s="2" t="s">
        <v>13</v>
      </c>
      <c r="G223" s="2" t="s">
        <v>1667</v>
      </c>
      <c r="H223" s="2" t="s">
        <v>1669</v>
      </c>
      <c r="I223" s="1" t="s">
        <v>14</v>
      </c>
      <c r="J223" s="1" t="s">
        <v>529</v>
      </c>
      <c r="L223" s="34">
        <v>0.442</v>
      </c>
      <c r="M223" s="35"/>
      <c r="N223" s="35">
        <f>5886*0.06</f>
        <v>353.15999999999997</v>
      </c>
      <c r="O223" s="35">
        <f>191*0.06</f>
        <v>11.459999999999999</v>
      </c>
      <c r="P223" s="35"/>
      <c r="Q223" s="35"/>
      <c r="R223" s="35"/>
      <c r="S223" s="35">
        <f>1530*0.06</f>
        <v>91.8</v>
      </c>
      <c r="T223" s="35"/>
      <c r="U223" s="35"/>
      <c r="V223" s="60" t="s">
        <v>1748</v>
      </c>
    </row>
    <row r="224" spans="1:22" ht="89.25" x14ac:dyDescent="0.2">
      <c r="A224" s="1" t="s">
        <v>72</v>
      </c>
      <c r="B224" s="2" t="s">
        <v>38</v>
      </c>
      <c r="C224" s="2" t="s">
        <v>73</v>
      </c>
      <c r="D224" s="2" t="s">
        <v>74</v>
      </c>
      <c r="E224" s="2">
        <v>2020</v>
      </c>
      <c r="F224" s="2" t="s">
        <v>188</v>
      </c>
      <c r="G224" s="2" t="s">
        <v>1667</v>
      </c>
      <c r="H224" s="2" t="s">
        <v>1669</v>
      </c>
      <c r="I224" s="1" t="s">
        <v>14</v>
      </c>
      <c r="J224" s="1" t="s">
        <v>593</v>
      </c>
      <c r="L224" s="34">
        <v>0.43099999999999999</v>
      </c>
      <c r="M224" s="35"/>
      <c r="N224" s="35">
        <f>6401*0.06</f>
        <v>384.06</v>
      </c>
      <c r="O224" s="35"/>
      <c r="P224" s="35"/>
      <c r="Q224" s="35"/>
      <c r="R224" s="14"/>
      <c r="S224" s="35">
        <f>740*0.06</f>
        <v>44.4</v>
      </c>
      <c r="T224" s="35"/>
      <c r="U224" s="35"/>
      <c r="V224" s="60" t="s">
        <v>1748</v>
      </c>
    </row>
    <row r="225" spans="1:22" ht="89.25" x14ac:dyDescent="0.2">
      <c r="A225" s="1" t="s">
        <v>72</v>
      </c>
      <c r="B225" s="2" t="s">
        <v>38</v>
      </c>
      <c r="C225" s="2" t="s">
        <v>73</v>
      </c>
      <c r="D225" s="2" t="s">
        <v>74</v>
      </c>
      <c r="E225" s="2">
        <v>2020</v>
      </c>
      <c r="F225" s="2" t="s">
        <v>203</v>
      </c>
      <c r="G225" s="2" t="s">
        <v>1667</v>
      </c>
      <c r="H225" s="2" t="s">
        <v>1669</v>
      </c>
      <c r="I225" s="1" t="s">
        <v>14</v>
      </c>
      <c r="J225" s="1" t="s">
        <v>654</v>
      </c>
      <c r="L225" s="34">
        <v>0.40050000000000002</v>
      </c>
      <c r="M225" s="35"/>
      <c r="N225" s="35">
        <f>1430*0.06</f>
        <v>85.8</v>
      </c>
      <c r="O225" s="35">
        <f>4255*0.06</f>
        <v>255.29999999999998</v>
      </c>
      <c r="P225" s="35"/>
      <c r="Q225" s="35"/>
      <c r="R225" s="14"/>
      <c r="S225" s="35">
        <f>2320*0.06</f>
        <v>139.19999999999999</v>
      </c>
      <c r="T225" s="35"/>
      <c r="U225" s="35"/>
      <c r="V225" s="60" t="s">
        <v>1748</v>
      </c>
    </row>
    <row r="226" spans="1:22" ht="102" x14ac:dyDescent="0.2">
      <c r="A226" s="1" t="s">
        <v>72</v>
      </c>
      <c r="B226" s="2" t="s">
        <v>38</v>
      </c>
      <c r="C226" s="2" t="s">
        <v>73</v>
      </c>
      <c r="D226" s="2" t="s">
        <v>74</v>
      </c>
      <c r="E226" s="2">
        <v>2020</v>
      </c>
      <c r="F226" s="2" t="s">
        <v>211</v>
      </c>
      <c r="G226" s="2" t="s">
        <v>1667</v>
      </c>
      <c r="H226" s="2" t="s">
        <v>1669</v>
      </c>
      <c r="I226" s="1" t="s">
        <v>14</v>
      </c>
      <c r="J226" s="1" t="s">
        <v>736</v>
      </c>
      <c r="L226" s="34">
        <v>0.40500000000000003</v>
      </c>
      <c r="M226" s="35"/>
      <c r="N226" s="35">
        <f>1109*0.06</f>
        <v>66.539999999999992</v>
      </c>
      <c r="O226" s="35">
        <f>5739*0.06</f>
        <v>344.34</v>
      </c>
      <c r="P226" s="35"/>
      <c r="Q226" s="35"/>
      <c r="R226" s="14"/>
      <c r="S226" s="35"/>
      <c r="T226" s="35"/>
      <c r="U226" s="35"/>
      <c r="V226" s="60" t="s">
        <v>1748</v>
      </c>
    </row>
    <row r="227" spans="1:22" ht="89.25" x14ac:dyDescent="0.2">
      <c r="A227" s="1" t="s">
        <v>72</v>
      </c>
      <c r="B227" s="2" t="s">
        <v>38</v>
      </c>
      <c r="C227" s="2" t="s">
        <v>73</v>
      </c>
      <c r="D227" s="2" t="s">
        <v>74</v>
      </c>
      <c r="E227" s="2">
        <v>2020</v>
      </c>
      <c r="F227" s="2" t="s">
        <v>221</v>
      </c>
      <c r="G227" s="2" t="s">
        <v>1667</v>
      </c>
      <c r="H227" s="2" t="s">
        <v>1669</v>
      </c>
      <c r="I227" s="1" t="s">
        <v>14</v>
      </c>
      <c r="J227" s="1" t="s">
        <v>791</v>
      </c>
      <c r="L227" s="34">
        <v>0.40500000000000003</v>
      </c>
      <c r="M227" s="35"/>
      <c r="N227" s="35">
        <f>4691*0.06</f>
        <v>281.45999999999998</v>
      </c>
      <c r="O227" s="35">
        <f>1586*0.06</f>
        <v>95.16</v>
      </c>
      <c r="P227" s="35"/>
      <c r="Q227" s="35"/>
      <c r="R227" s="14"/>
      <c r="S227" s="35"/>
      <c r="T227" s="35"/>
      <c r="U227" s="35"/>
      <c r="V227" s="60" t="s">
        <v>1748</v>
      </c>
    </row>
    <row r="228" spans="1:22" ht="102" x14ac:dyDescent="0.2">
      <c r="A228" s="1" t="s">
        <v>72</v>
      </c>
      <c r="B228" s="2" t="s">
        <v>38</v>
      </c>
      <c r="C228" s="2" t="s">
        <v>73</v>
      </c>
      <c r="D228" s="2" t="s">
        <v>74</v>
      </c>
      <c r="E228" s="2">
        <v>2020</v>
      </c>
      <c r="F228" s="2" t="s">
        <v>256</v>
      </c>
      <c r="G228" s="2" t="s">
        <v>1667</v>
      </c>
      <c r="H228" s="2" t="s">
        <v>1669</v>
      </c>
      <c r="I228" s="1" t="s">
        <v>14</v>
      </c>
      <c r="J228" s="1" t="s">
        <v>903</v>
      </c>
      <c r="L228" s="34">
        <v>0.39190000000000003</v>
      </c>
      <c r="M228" s="35"/>
      <c r="N228" s="35">
        <f>3795*0.06</f>
        <v>227.7</v>
      </c>
      <c r="O228" s="35">
        <f>1261*0.06</f>
        <v>75.66</v>
      </c>
      <c r="P228" s="35"/>
      <c r="Q228" s="35"/>
      <c r="R228" s="14"/>
      <c r="S228" s="14"/>
      <c r="T228" s="35"/>
      <c r="U228" s="35"/>
      <c r="V228" s="60" t="s">
        <v>1748</v>
      </c>
    </row>
    <row r="229" spans="1:22" ht="114.75" x14ac:dyDescent="0.2">
      <c r="A229" s="1" t="s">
        <v>72</v>
      </c>
      <c r="B229" s="2" t="s">
        <v>38</v>
      </c>
      <c r="C229" s="2" t="s">
        <v>73</v>
      </c>
      <c r="D229" s="2" t="s">
        <v>74</v>
      </c>
      <c r="E229" s="2">
        <v>2020</v>
      </c>
      <c r="F229" s="2" t="s">
        <v>276</v>
      </c>
      <c r="G229" s="2" t="s">
        <v>1667</v>
      </c>
      <c r="H229" s="2" t="s">
        <v>1669</v>
      </c>
      <c r="I229" s="1" t="s">
        <v>14</v>
      </c>
      <c r="J229" s="1" t="s">
        <v>1044</v>
      </c>
      <c r="L229" s="34">
        <v>0.45689999999999997</v>
      </c>
      <c r="M229" s="35"/>
      <c r="N229" s="35">
        <f>3825*0.06</f>
        <v>229.5</v>
      </c>
      <c r="O229" s="35">
        <f>875*0.06</f>
        <v>52.5</v>
      </c>
      <c r="P229" s="35"/>
      <c r="Q229" s="35"/>
      <c r="R229" s="14">
        <f>516*0.06</f>
        <v>30.959999999999997</v>
      </c>
      <c r="S229" s="14"/>
      <c r="T229" s="35"/>
      <c r="U229" s="35"/>
      <c r="V229" s="60" t="s">
        <v>1748</v>
      </c>
    </row>
    <row r="230" spans="1:22" ht="114.75" x14ac:dyDescent="0.2">
      <c r="A230" s="1" t="s">
        <v>72</v>
      </c>
      <c r="B230" s="2" t="s">
        <v>38</v>
      </c>
      <c r="C230" s="2" t="s">
        <v>73</v>
      </c>
      <c r="D230" s="2" t="s">
        <v>74</v>
      </c>
      <c r="E230" s="2">
        <v>2020</v>
      </c>
      <c r="F230" s="2" t="s">
        <v>291</v>
      </c>
      <c r="G230" s="2" t="s">
        <v>1667</v>
      </c>
      <c r="H230" s="2" t="s">
        <v>1669</v>
      </c>
      <c r="I230" s="1" t="s">
        <v>14</v>
      </c>
      <c r="J230" s="1" t="s">
        <v>1133</v>
      </c>
      <c r="L230" s="34">
        <v>0.38419999999999999</v>
      </c>
      <c r="M230" s="35"/>
      <c r="N230" s="35">
        <f>4034*0.06</f>
        <v>242.04</v>
      </c>
      <c r="O230" s="35">
        <f>953*0.06</f>
        <v>57.18</v>
      </c>
      <c r="P230" s="35"/>
      <c r="Q230" s="35"/>
      <c r="R230" s="14">
        <f>487*0.06</f>
        <v>29.22</v>
      </c>
      <c r="S230" s="14"/>
      <c r="T230" s="35"/>
      <c r="U230" s="35"/>
      <c r="V230" s="60" t="s">
        <v>1748</v>
      </c>
    </row>
    <row r="231" spans="1:22" ht="140.25" x14ac:dyDescent="0.2">
      <c r="A231" s="1" t="s">
        <v>72</v>
      </c>
      <c r="B231" s="2" t="s">
        <v>38</v>
      </c>
      <c r="C231" s="2" t="s">
        <v>73</v>
      </c>
      <c r="D231" s="2" t="s">
        <v>74</v>
      </c>
      <c r="E231" s="2">
        <v>2020</v>
      </c>
      <c r="F231" s="2" t="s">
        <v>311</v>
      </c>
      <c r="G231" s="2" t="s">
        <v>1667</v>
      </c>
      <c r="H231" s="2" t="s">
        <v>1669</v>
      </c>
      <c r="I231" s="1" t="s">
        <v>14</v>
      </c>
      <c r="J231" s="1" t="s">
        <v>1305</v>
      </c>
      <c r="L231" s="34">
        <v>0.3947</v>
      </c>
      <c r="M231" s="35"/>
      <c r="N231" s="35">
        <f>3058*0.06</f>
        <v>183.48</v>
      </c>
      <c r="O231" s="35">
        <f>188*0.06</f>
        <v>11.28</v>
      </c>
      <c r="P231" s="35"/>
      <c r="Q231" s="35"/>
      <c r="R231" s="14">
        <f>529*0.06</f>
        <v>31.74</v>
      </c>
      <c r="S231" s="14">
        <f>570*0.06</f>
        <v>34.199999999999996</v>
      </c>
      <c r="T231" s="35"/>
      <c r="U231" s="35"/>
      <c r="V231" s="60" t="s">
        <v>1748</v>
      </c>
    </row>
    <row r="232" spans="1:22" ht="102" x14ac:dyDescent="0.2">
      <c r="A232" s="1" t="s">
        <v>72</v>
      </c>
      <c r="B232" s="2" t="s">
        <v>38</v>
      </c>
      <c r="C232" s="2" t="s">
        <v>73</v>
      </c>
      <c r="D232" s="2" t="s">
        <v>74</v>
      </c>
      <c r="E232" s="2">
        <v>2020</v>
      </c>
      <c r="F232" s="2" t="s">
        <v>337</v>
      </c>
      <c r="G232" s="2" t="s">
        <v>1667</v>
      </c>
      <c r="H232" s="2" t="s">
        <v>1669</v>
      </c>
      <c r="I232" s="1" t="s">
        <v>14</v>
      </c>
      <c r="J232" s="1" t="s">
        <v>1421</v>
      </c>
      <c r="L232" s="34">
        <v>0.37030000000000002</v>
      </c>
      <c r="M232" s="35"/>
      <c r="N232" s="35">
        <f>603*0.06</f>
        <v>36.18</v>
      </c>
      <c r="O232" s="35"/>
      <c r="P232" s="35"/>
      <c r="Q232" s="35"/>
      <c r="R232" s="14"/>
      <c r="S232" s="14">
        <f>3755*0.06</f>
        <v>225.29999999999998</v>
      </c>
      <c r="T232" s="35"/>
      <c r="U232" s="35"/>
      <c r="V232" s="60" t="s">
        <v>1748</v>
      </c>
    </row>
    <row r="233" spans="1:22" ht="102" x14ac:dyDescent="0.2">
      <c r="A233" s="1" t="s">
        <v>72</v>
      </c>
      <c r="B233" s="2" t="s">
        <v>38</v>
      </c>
      <c r="C233" s="2" t="s">
        <v>73</v>
      </c>
      <c r="D233" s="2" t="s">
        <v>74</v>
      </c>
      <c r="E233" s="2">
        <v>2020</v>
      </c>
      <c r="F233" s="2" t="s">
        <v>364</v>
      </c>
      <c r="G233" s="2" t="s">
        <v>1667</v>
      </c>
      <c r="H233" s="2" t="s">
        <v>1669</v>
      </c>
      <c r="I233" s="1" t="s">
        <v>14</v>
      </c>
      <c r="J233" s="1" t="s">
        <v>1581</v>
      </c>
      <c r="L233" s="34">
        <v>0.38519999999999999</v>
      </c>
      <c r="M233" s="35"/>
      <c r="N233" s="35">
        <f>2272*0.06</f>
        <v>136.32</v>
      </c>
      <c r="O233" s="35"/>
      <c r="P233" s="35"/>
      <c r="Q233" s="35"/>
      <c r="R233" s="14"/>
      <c r="S233" s="14">
        <f>2003*0.06</f>
        <v>120.17999999999999</v>
      </c>
      <c r="T233" s="35"/>
      <c r="U233" s="35"/>
      <c r="V233" s="60" t="s">
        <v>1748</v>
      </c>
    </row>
    <row r="234" spans="1:22" ht="102" x14ac:dyDescent="0.2">
      <c r="A234" s="1" t="s">
        <v>72</v>
      </c>
      <c r="B234" s="2" t="s">
        <v>38</v>
      </c>
      <c r="C234" s="2" t="s">
        <v>73</v>
      </c>
      <c r="D234" s="2" t="s">
        <v>74</v>
      </c>
      <c r="E234" s="2">
        <v>2020</v>
      </c>
      <c r="F234" s="2" t="s">
        <v>388</v>
      </c>
      <c r="G234" s="2" t="s">
        <v>1667</v>
      </c>
      <c r="H234" s="2" t="s">
        <v>1669</v>
      </c>
      <c r="I234" s="1" t="s">
        <v>14</v>
      </c>
      <c r="J234" s="1" t="s">
        <v>1606</v>
      </c>
      <c r="L234" s="34">
        <v>0.4254</v>
      </c>
      <c r="M234" s="35"/>
      <c r="N234" s="35">
        <f>3571*0.06</f>
        <v>214.26</v>
      </c>
      <c r="O234" s="35"/>
      <c r="P234" s="35"/>
      <c r="Q234" s="35"/>
      <c r="R234" s="35"/>
      <c r="S234" s="35">
        <f>1978*0.06</f>
        <v>118.67999999999999</v>
      </c>
      <c r="T234" s="35"/>
      <c r="U234" s="35"/>
      <c r="V234" s="60" t="s">
        <v>1748</v>
      </c>
    </row>
    <row r="235" spans="1:22" ht="38.25" x14ac:dyDescent="0.2">
      <c r="A235" s="1" t="s">
        <v>945</v>
      </c>
      <c r="B235" s="2" t="s">
        <v>198</v>
      </c>
      <c r="C235" s="2" t="s">
        <v>345</v>
      </c>
      <c r="D235" s="2" t="s">
        <v>346</v>
      </c>
      <c r="E235" s="2">
        <v>2020</v>
      </c>
      <c r="F235" s="2" t="s">
        <v>256</v>
      </c>
      <c r="G235" s="2" t="s">
        <v>1669</v>
      </c>
      <c r="H235" s="2" t="s">
        <v>1669</v>
      </c>
      <c r="I235" s="1" t="s">
        <v>946</v>
      </c>
      <c r="J235" s="1" t="s">
        <v>947</v>
      </c>
      <c r="L235" s="34" t="s">
        <v>1670</v>
      </c>
      <c r="M235" s="35"/>
      <c r="N235" s="35">
        <v>560</v>
      </c>
      <c r="O235" s="35"/>
      <c r="P235" s="35"/>
      <c r="Q235" s="35"/>
      <c r="R235" s="14"/>
      <c r="S235" s="14"/>
      <c r="T235" s="35"/>
      <c r="U235" s="35"/>
      <c r="V235" s="60" t="s">
        <v>1682</v>
      </c>
    </row>
    <row r="236" spans="1:22" ht="409.5" x14ac:dyDescent="0.2">
      <c r="A236" s="1" t="s">
        <v>428</v>
      </c>
      <c r="B236" s="2" t="s">
        <v>196</v>
      </c>
      <c r="C236" s="2" t="s">
        <v>429</v>
      </c>
      <c r="D236" s="2" t="s">
        <v>33</v>
      </c>
      <c r="E236" s="2">
        <v>2020</v>
      </c>
      <c r="F236" s="2" t="s">
        <v>291</v>
      </c>
      <c r="G236" s="2" t="s">
        <v>1669</v>
      </c>
      <c r="H236" s="2" t="s">
        <v>1669</v>
      </c>
      <c r="I236" s="1" t="s">
        <v>1087</v>
      </c>
      <c r="J236" s="1" t="s">
        <v>1733</v>
      </c>
      <c r="L236" s="42">
        <v>0.2303</v>
      </c>
      <c r="M236" s="35"/>
      <c r="N236" s="35">
        <v>2500</v>
      </c>
      <c r="O236" s="35"/>
      <c r="P236" s="35"/>
      <c r="Q236" s="35"/>
      <c r="R236" s="14"/>
      <c r="S236" s="14"/>
      <c r="T236" s="35"/>
      <c r="U236" s="35"/>
      <c r="V236" s="60"/>
    </row>
    <row r="237" spans="1:22" ht="409.5" x14ac:dyDescent="0.2">
      <c r="A237" s="1" t="s">
        <v>428</v>
      </c>
      <c r="B237" s="2" t="s">
        <v>196</v>
      </c>
      <c r="C237" s="2" t="s">
        <v>429</v>
      </c>
      <c r="D237" s="2" t="s">
        <v>33</v>
      </c>
      <c r="E237" s="2">
        <v>2020</v>
      </c>
      <c r="F237" s="2" t="s">
        <v>311</v>
      </c>
      <c r="G237" s="2" t="s">
        <v>1669</v>
      </c>
      <c r="H237" s="2" t="s">
        <v>1669</v>
      </c>
      <c r="I237" s="1" t="s">
        <v>1087</v>
      </c>
      <c r="J237" s="1" t="s">
        <v>1221</v>
      </c>
      <c r="L237" s="5"/>
      <c r="M237" s="35"/>
      <c r="N237" s="35"/>
      <c r="O237" s="35"/>
      <c r="P237" s="35"/>
      <c r="Q237" s="35"/>
      <c r="R237" s="6"/>
      <c r="S237" s="6"/>
      <c r="T237" s="35"/>
      <c r="U237" s="35"/>
      <c r="V237" s="61" t="s">
        <v>1734</v>
      </c>
    </row>
    <row r="238" spans="1:22" ht="102" x14ac:dyDescent="0.2">
      <c r="A238" s="1" t="s">
        <v>385</v>
      </c>
      <c r="B238" s="2" t="s">
        <v>386</v>
      </c>
      <c r="C238" s="2" t="s">
        <v>387</v>
      </c>
      <c r="D238" s="2" t="s">
        <v>246</v>
      </c>
      <c r="E238" s="2">
        <v>2020</v>
      </c>
      <c r="F238" s="2" t="s">
        <v>364</v>
      </c>
      <c r="G238" s="2" t="s">
        <v>1669</v>
      </c>
      <c r="H238" s="2" t="s">
        <v>1669</v>
      </c>
      <c r="I238" s="1" t="s">
        <v>1562</v>
      </c>
      <c r="J238" s="1" t="s">
        <v>1562</v>
      </c>
      <c r="L238" s="5">
        <v>2.1000000000000001E-2</v>
      </c>
      <c r="M238" s="35"/>
      <c r="N238" s="35"/>
      <c r="O238" s="35"/>
      <c r="P238" s="35"/>
      <c r="Q238" s="35"/>
      <c r="R238" s="6"/>
      <c r="S238" s="6"/>
      <c r="T238" s="35"/>
      <c r="U238" s="36">
        <f>37350*0.004546</f>
        <v>169.79309999999998</v>
      </c>
      <c r="V238" s="60" t="s">
        <v>1684</v>
      </c>
    </row>
    <row r="239" spans="1:22" ht="51" x14ac:dyDescent="0.2">
      <c r="A239" s="1" t="s">
        <v>119</v>
      </c>
      <c r="B239" s="2" t="s">
        <v>48</v>
      </c>
      <c r="C239" s="2" t="s">
        <v>120</v>
      </c>
      <c r="D239" s="2" t="s">
        <v>121</v>
      </c>
      <c r="E239" s="2">
        <v>2020</v>
      </c>
      <c r="F239" s="2" t="s">
        <v>13</v>
      </c>
      <c r="G239" s="2" t="s">
        <v>1667</v>
      </c>
      <c r="H239" s="2" t="s">
        <v>1669</v>
      </c>
      <c r="I239" s="1" t="s">
        <v>14</v>
      </c>
      <c r="J239" s="1" t="s">
        <v>490</v>
      </c>
      <c r="L239" s="34">
        <v>0.23100000000000001</v>
      </c>
      <c r="M239" s="35"/>
      <c r="O239" s="35"/>
      <c r="P239" s="35"/>
      <c r="Q239" s="35">
        <v>94.4</v>
      </c>
      <c r="R239" s="35"/>
      <c r="S239" s="35"/>
      <c r="T239" s="35"/>
      <c r="U239" s="35"/>
      <c r="V239" s="60"/>
    </row>
    <row r="240" spans="1:22" ht="51" x14ac:dyDescent="0.2">
      <c r="A240" s="1" t="s">
        <v>119</v>
      </c>
      <c r="B240" s="2" t="s">
        <v>48</v>
      </c>
      <c r="C240" s="2" t="s">
        <v>120</v>
      </c>
      <c r="D240" s="2" t="s">
        <v>121</v>
      </c>
      <c r="E240" s="2">
        <v>2020</v>
      </c>
      <c r="F240" s="2" t="s">
        <v>188</v>
      </c>
      <c r="G240" s="2" t="s">
        <v>1667</v>
      </c>
      <c r="H240" s="2" t="s">
        <v>1669</v>
      </c>
      <c r="I240" s="1" t="s">
        <v>14</v>
      </c>
      <c r="J240" s="1" t="s">
        <v>598</v>
      </c>
      <c r="L240" s="34">
        <v>0.23100000000000001</v>
      </c>
      <c r="M240" s="35"/>
      <c r="O240" s="35"/>
      <c r="P240" s="35"/>
      <c r="Q240" s="35">
        <v>112.7</v>
      </c>
      <c r="R240" s="14"/>
      <c r="S240" s="35"/>
      <c r="T240" s="35"/>
      <c r="U240" s="35"/>
      <c r="V240" s="60"/>
    </row>
    <row r="241" spans="1:22" ht="51" x14ac:dyDescent="0.2">
      <c r="A241" s="1" t="s">
        <v>119</v>
      </c>
      <c r="B241" s="2" t="s">
        <v>48</v>
      </c>
      <c r="C241" s="2" t="s">
        <v>120</v>
      </c>
      <c r="D241" s="2" t="s">
        <v>121</v>
      </c>
      <c r="E241" s="2">
        <v>2020</v>
      </c>
      <c r="F241" s="2" t="s">
        <v>203</v>
      </c>
      <c r="G241" s="2" t="s">
        <v>1667</v>
      </c>
      <c r="H241" s="2" t="s">
        <v>1669</v>
      </c>
      <c r="I241" s="1" t="s">
        <v>14</v>
      </c>
      <c r="J241" s="1" t="s">
        <v>616</v>
      </c>
      <c r="L241" s="34">
        <v>0.248</v>
      </c>
      <c r="M241" s="35"/>
      <c r="O241" s="35"/>
      <c r="P241" s="35"/>
      <c r="Q241" s="35">
        <v>118.4</v>
      </c>
      <c r="R241" s="14"/>
      <c r="S241" s="35"/>
      <c r="T241" s="35"/>
      <c r="U241" s="35"/>
      <c r="V241" s="60"/>
    </row>
    <row r="242" spans="1:22" ht="51" x14ac:dyDescent="0.2">
      <c r="A242" s="1" t="s">
        <v>119</v>
      </c>
      <c r="B242" s="2" t="s">
        <v>48</v>
      </c>
      <c r="C242" s="2" t="s">
        <v>120</v>
      </c>
      <c r="D242" s="2" t="s">
        <v>121</v>
      </c>
      <c r="E242" s="2">
        <v>2020</v>
      </c>
      <c r="F242" s="2" t="s">
        <v>211</v>
      </c>
      <c r="G242" s="2" t="s">
        <v>1667</v>
      </c>
      <c r="H242" s="2" t="s">
        <v>1669</v>
      </c>
      <c r="I242" s="1" t="s">
        <v>14</v>
      </c>
      <c r="J242" s="1" t="s">
        <v>691</v>
      </c>
      <c r="L242" s="34">
        <v>0.24399999999999999</v>
      </c>
      <c r="M242" s="35"/>
      <c r="O242" s="35"/>
      <c r="P242" s="35"/>
      <c r="Q242" s="35">
        <v>35.200000000000003</v>
      </c>
      <c r="R242" s="14"/>
      <c r="S242" s="35"/>
      <c r="T242" s="35"/>
      <c r="U242" s="35"/>
      <c r="V242" s="60"/>
    </row>
    <row r="243" spans="1:22" ht="51" x14ac:dyDescent="0.2">
      <c r="A243" s="1" t="s">
        <v>119</v>
      </c>
      <c r="B243" s="2" t="s">
        <v>48</v>
      </c>
      <c r="C243" s="2" t="s">
        <v>120</v>
      </c>
      <c r="D243" s="2" t="s">
        <v>121</v>
      </c>
      <c r="E243" s="2">
        <v>2020</v>
      </c>
      <c r="F243" s="2" t="s">
        <v>221</v>
      </c>
      <c r="G243" s="2" t="s">
        <v>1667</v>
      </c>
      <c r="H243" s="2" t="s">
        <v>1669</v>
      </c>
      <c r="I243" s="1" t="s">
        <v>14</v>
      </c>
      <c r="J243" s="1" t="s">
        <v>783</v>
      </c>
      <c r="L243" s="34">
        <v>0.24399999999999999</v>
      </c>
      <c r="M243" s="35"/>
      <c r="N243" s="35"/>
      <c r="O243" s="35"/>
      <c r="P243" s="35"/>
      <c r="Q243" s="35">
        <v>89.9</v>
      </c>
      <c r="R243" s="14"/>
      <c r="S243" s="35"/>
      <c r="T243" s="35"/>
      <c r="U243" s="35"/>
      <c r="V243" s="60"/>
    </row>
    <row r="244" spans="1:22" ht="51" x14ac:dyDescent="0.2">
      <c r="A244" s="1" t="s">
        <v>119</v>
      </c>
      <c r="B244" s="2" t="s">
        <v>48</v>
      </c>
      <c r="C244" s="2" t="s">
        <v>120</v>
      </c>
      <c r="D244" s="2" t="s">
        <v>121</v>
      </c>
      <c r="E244" s="2">
        <v>2020</v>
      </c>
      <c r="F244" s="2" t="s">
        <v>256</v>
      </c>
      <c r="G244" s="2" t="s">
        <v>1667</v>
      </c>
      <c r="H244" s="2" t="s">
        <v>1669</v>
      </c>
      <c r="I244" s="1" t="s">
        <v>14</v>
      </c>
      <c r="J244" s="1" t="s">
        <v>919</v>
      </c>
      <c r="L244" s="34">
        <v>0.23899999999999999</v>
      </c>
      <c r="M244" s="35"/>
      <c r="O244" s="35"/>
      <c r="P244" s="35"/>
      <c r="Q244" s="35">
        <v>90.48</v>
      </c>
      <c r="R244" s="14"/>
      <c r="S244" s="14"/>
      <c r="T244" s="35"/>
      <c r="U244" s="35"/>
      <c r="V244" s="60"/>
    </row>
    <row r="245" spans="1:22" ht="51" x14ac:dyDescent="0.2">
      <c r="A245" s="1" t="s">
        <v>119</v>
      </c>
      <c r="B245" s="2" t="s">
        <v>48</v>
      </c>
      <c r="C245" s="2" t="s">
        <v>120</v>
      </c>
      <c r="D245" s="2" t="s">
        <v>121</v>
      </c>
      <c r="E245" s="2">
        <v>2020</v>
      </c>
      <c r="F245" s="2" t="s">
        <v>276</v>
      </c>
      <c r="G245" s="2" t="s">
        <v>1667</v>
      </c>
      <c r="H245" s="2" t="s">
        <v>1669</v>
      </c>
      <c r="I245" s="1" t="s">
        <v>14</v>
      </c>
      <c r="J245" s="1" t="s">
        <v>971</v>
      </c>
      <c r="L245" s="34">
        <v>0.24299999999999999</v>
      </c>
      <c r="M245" s="35"/>
      <c r="O245" s="35"/>
      <c r="P245" s="35"/>
      <c r="Q245" s="35">
        <v>104.1</v>
      </c>
      <c r="R245" s="14"/>
      <c r="S245" s="14"/>
      <c r="T245" s="35"/>
      <c r="U245" s="35"/>
      <c r="V245" s="60"/>
    </row>
    <row r="246" spans="1:22" ht="51" x14ac:dyDescent="0.2">
      <c r="A246" s="1" t="s">
        <v>119</v>
      </c>
      <c r="B246" s="2" t="s">
        <v>48</v>
      </c>
      <c r="C246" s="2" t="s">
        <v>120</v>
      </c>
      <c r="D246" s="2" t="s">
        <v>121</v>
      </c>
      <c r="E246" s="2">
        <v>2020</v>
      </c>
      <c r="F246" s="2" t="s">
        <v>291</v>
      </c>
      <c r="G246" s="2" t="s">
        <v>1667</v>
      </c>
      <c r="H246" s="2" t="s">
        <v>1669</v>
      </c>
      <c r="I246" s="1" t="s">
        <v>14</v>
      </c>
      <c r="J246" s="1" t="s">
        <v>1148</v>
      </c>
      <c r="L246" s="34">
        <v>0.249</v>
      </c>
      <c r="M246" s="35"/>
      <c r="O246" s="35"/>
      <c r="P246" s="35"/>
      <c r="Q246" s="35">
        <v>85.2</v>
      </c>
      <c r="R246" s="14"/>
      <c r="S246" s="14"/>
      <c r="T246" s="35"/>
      <c r="U246" s="35"/>
      <c r="V246" s="60"/>
    </row>
    <row r="247" spans="1:22" ht="51" x14ac:dyDescent="0.2">
      <c r="A247" s="1" t="s">
        <v>119</v>
      </c>
      <c r="B247" s="2" t="s">
        <v>48</v>
      </c>
      <c r="C247" s="2" t="s">
        <v>120</v>
      </c>
      <c r="D247" s="2" t="s">
        <v>121</v>
      </c>
      <c r="E247" s="2">
        <v>2020</v>
      </c>
      <c r="F247" s="2" t="s">
        <v>311</v>
      </c>
      <c r="G247" s="2" t="s">
        <v>1667</v>
      </c>
      <c r="H247" s="2" t="s">
        <v>1669</v>
      </c>
      <c r="I247" s="1" t="s">
        <v>14</v>
      </c>
      <c r="J247" s="1" t="s">
        <v>1265</v>
      </c>
      <c r="L247" s="34">
        <v>0.24399999999999999</v>
      </c>
      <c r="M247" s="35"/>
      <c r="O247" s="35"/>
      <c r="P247" s="35"/>
      <c r="Q247" s="35">
        <v>109.8</v>
      </c>
      <c r="R247" s="14"/>
      <c r="S247" s="14"/>
      <c r="T247" s="35"/>
      <c r="U247" s="35"/>
      <c r="V247" s="60"/>
    </row>
    <row r="248" spans="1:22" ht="51" x14ac:dyDescent="0.2">
      <c r="A248" s="1" t="s">
        <v>119</v>
      </c>
      <c r="B248" s="2" t="s">
        <v>48</v>
      </c>
      <c r="C248" s="2" t="s">
        <v>120</v>
      </c>
      <c r="D248" s="2" t="s">
        <v>121</v>
      </c>
      <c r="E248" s="2">
        <v>2020</v>
      </c>
      <c r="F248" s="2" t="s">
        <v>337</v>
      </c>
      <c r="G248" s="2" t="s">
        <v>1667</v>
      </c>
      <c r="H248" s="2" t="s">
        <v>1669</v>
      </c>
      <c r="I248" s="1" t="s">
        <v>14</v>
      </c>
      <c r="J248" s="1" t="s">
        <v>1402</v>
      </c>
      <c r="L248" s="34">
        <v>0.23200000000000001</v>
      </c>
      <c r="M248" s="35"/>
      <c r="O248" s="35"/>
      <c r="P248" s="35"/>
      <c r="Q248" s="35">
        <v>98.8</v>
      </c>
      <c r="R248" s="14"/>
      <c r="S248" s="14"/>
      <c r="T248" s="35"/>
      <c r="U248" s="35"/>
      <c r="V248" s="60"/>
    </row>
    <row r="249" spans="1:22" ht="51" x14ac:dyDescent="0.2">
      <c r="A249" s="1" t="s">
        <v>119</v>
      </c>
      <c r="B249" s="2" t="s">
        <v>48</v>
      </c>
      <c r="C249" s="2" t="s">
        <v>120</v>
      </c>
      <c r="D249" s="2" t="s">
        <v>121</v>
      </c>
      <c r="E249" s="2">
        <v>2020</v>
      </c>
      <c r="F249" s="2" t="s">
        <v>364</v>
      </c>
      <c r="G249" s="2" t="s">
        <v>1667</v>
      </c>
      <c r="H249" s="2" t="s">
        <v>1669</v>
      </c>
      <c r="I249" s="1" t="s">
        <v>14</v>
      </c>
      <c r="J249" s="1" t="s">
        <v>1508</v>
      </c>
      <c r="L249" s="34">
        <v>0.23</v>
      </c>
      <c r="M249" s="35"/>
      <c r="O249" s="35"/>
      <c r="P249" s="35"/>
      <c r="Q249" s="35">
        <v>57.56</v>
      </c>
      <c r="R249" s="14"/>
      <c r="S249" s="14"/>
      <c r="T249" s="35"/>
      <c r="U249" s="35"/>
      <c r="V249" s="60"/>
    </row>
    <row r="250" spans="1:22" ht="51" x14ac:dyDescent="0.2">
      <c r="A250" s="1" t="s">
        <v>119</v>
      </c>
      <c r="B250" s="2" t="s">
        <v>48</v>
      </c>
      <c r="C250" s="2" t="s">
        <v>120</v>
      </c>
      <c r="D250" s="2" t="s">
        <v>121</v>
      </c>
      <c r="E250" s="2">
        <v>2020</v>
      </c>
      <c r="F250" s="2" t="s">
        <v>388</v>
      </c>
      <c r="G250" s="2" t="s">
        <v>1667</v>
      </c>
      <c r="H250" s="2" t="s">
        <v>1669</v>
      </c>
      <c r="I250" s="1" t="s">
        <v>14</v>
      </c>
      <c r="J250" s="1" t="s">
        <v>1608</v>
      </c>
      <c r="L250" s="34">
        <v>0.223</v>
      </c>
      <c r="M250" s="35"/>
      <c r="O250" s="35"/>
      <c r="P250" s="35"/>
      <c r="Q250" s="35">
        <v>116.6</v>
      </c>
      <c r="R250" s="35"/>
      <c r="S250" s="35"/>
      <c r="T250" s="35"/>
      <c r="U250" s="35"/>
      <c r="V250" s="60"/>
    </row>
    <row r="251" spans="1:22" ht="38.25" x14ac:dyDescent="0.2">
      <c r="A251" s="1" t="s">
        <v>174</v>
      </c>
      <c r="B251" s="2" t="s">
        <v>16</v>
      </c>
      <c r="C251" s="2" t="s">
        <v>175</v>
      </c>
      <c r="D251" s="2" t="s">
        <v>132</v>
      </c>
      <c r="E251" s="2">
        <v>2020</v>
      </c>
      <c r="F251" s="2" t="s">
        <v>13</v>
      </c>
      <c r="G251" s="2" t="s">
        <v>1667</v>
      </c>
      <c r="H251" s="2" t="s">
        <v>1669</v>
      </c>
      <c r="I251" s="1" t="s">
        <v>14</v>
      </c>
      <c r="J251" s="1" t="s">
        <v>488</v>
      </c>
      <c r="L251" s="5">
        <v>0.29339999999999999</v>
      </c>
      <c r="M251" s="35"/>
      <c r="N251" s="35"/>
      <c r="O251" s="35"/>
      <c r="P251" s="35"/>
      <c r="Q251" s="35"/>
      <c r="R251" s="35">
        <f>45*0.8</f>
        <v>36</v>
      </c>
      <c r="S251" s="35"/>
      <c r="T251" s="35"/>
      <c r="U251" s="35"/>
      <c r="V251" s="60" t="s">
        <v>1680</v>
      </c>
    </row>
    <row r="252" spans="1:22" ht="38.25" x14ac:dyDescent="0.2">
      <c r="A252" s="1" t="s">
        <v>174</v>
      </c>
      <c r="B252" s="2" t="s">
        <v>16</v>
      </c>
      <c r="C252" s="2" t="s">
        <v>175</v>
      </c>
      <c r="D252" s="2" t="s">
        <v>132</v>
      </c>
      <c r="E252" s="2">
        <v>2020</v>
      </c>
      <c r="F252" s="2" t="s">
        <v>188</v>
      </c>
      <c r="G252" s="2" t="s">
        <v>1667</v>
      </c>
      <c r="H252" s="2" t="s">
        <v>1669</v>
      </c>
      <c r="I252" s="1" t="s">
        <v>14</v>
      </c>
      <c r="J252" s="1" t="s">
        <v>568</v>
      </c>
      <c r="L252" s="5">
        <v>0.2802</v>
      </c>
      <c r="M252" s="35"/>
      <c r="N252" s="35"/>
      <c r="O252" s="35"/>
      <c r="P252" s="35"/>
      <c r="Q252" s="35"/>
      <c r="R252" s="35">
        <f>50.5*0.8</f>
        <v>40.400000000000006</v>
      </c>
      <c r="S252" s="35"/>
      <c r="T252" s="35"/>
      <c r="U252" s="35"/>
      <c r="V252" s="60" t="s">
        <v>1680</v>
      </c>
    </row>
    <row r="253" spans="1:22" ht="38.25" x14ac:dyDescent="0.2">
      <c r="A253" s="1" t="s">
        <v>174</v>
      </c>
      <c r="B253" s="2" t="s">
        <v>16</v>
      </c>
      <c r="C253" s="2" t="s">
        <v>175</v>
      </c>
      <c r="D253" s="2" t="s">
        <v>132</v>
      </c>
      <c r="E253" s="2">
        <v>2020</v>
      </c>
      <c r="F253" s="2" t="s">
        <v>203</v>
      </c>
      <c r="G253" s="2" t="s">
        <v>1667</v>
      </c>
      <c r="H253" s="2" t="s">
        <v>1669</v>
      </c>
      <c r="I253" s="1" t="s">
        <v>14</v>
      </c>
      <c r="J253" s="1" t="s">
        <v>627</v>
      </c>
      <c r="L253" s="5">
        <v>0.28070000000000001</v>
      </c>
      <c r="M253" s="35"/>
      <c r="N253" s="35"/>
      <c r="O253" s="35"/>
      <c r="P253" s="35"/>
      <c r="Q253" s="35"/>
      <c r="R253" s="6">
        <f>54.5*0.8</f>
        <v>43.6</v>
      </c>
      <c r="S253" s="35"/>
      <c r="T253" s="35"/>
      <c r="U253" s="35"/>
      <c r="V253" s="60" t="s">
        <v>1680</v>
      </c>
    </row>
    <row r="254" spans="1:22" ht="38.25" x14ac:dyDescent="0.2">
      <c r="A254" s="1" t="s">
        <v>174</v>
      </c>
      <c r="B254" s="2" t="s">
        <v>16</v>
      </c>
      <c r="C254" s="2" t="s">
        <v>175</v>
      </c>
      <c r="D254" s="2" t="s">
        <v>132</v>
      </c>
      <c r="E254" s="2">
        <v>2020</v>
      </c>
      <c r="F254" s="2" t="s">
        <v>211</v>
      </c>
      <c r="G254" s="2" t="s">
        <v>1667</v>
      </c>
      <c r="H254" s="2" t="s">
        <v>1669</v>
      </c>
      <c r="I254" s="1" t="s">
        <v>14</v>
      </c>
      <c r="J254" s="1" t="s">
        <v>737</v>
      </c>
      <c r="L254" s="5">
        <v>0.2767</v>
      </c>
      <c r="M254" s="35"/>
      <c r="N254" s="35"/>
      <c r="O254" s="35"/>
      <c r="P254" s="35"/>
      <c r="Q254" s="35"/>
      <c r="R254" s="6">
        <f>46.5*0.8</f>
        <v>37.200000000000003</v>
      </c>
      <c r="S254" s="35"/>
      <c r="T254" s="35"/>
      <c r="U254" s="35"/>
      <c r="V254" s="60" t="s">
        <v>1680</v>
      </c>
    </row>
    <row r="255" spans="1:22" ht="38.25" x14ac:dyDescent="0.2">
      <c r="A255" s="1" t="s">
        <v>174</v>
      </c>
      <c r="B255" s="2" t="s">
        <v>16</v>
      </c>
      <c r="C255" s="2" t="s">
        <v>175</v>
      </c>
      <c r="D255" s="2" t="s">
        <v>132</v>
      </c>
      <c r="E255" s="2">
        <v>2020</v>
      </c>
      <c r="F255" s="2" t="s">
        <v>221</v>
      </c>
      <c r="G255" s="2" t="s">
        <v>1667</v>
      </c>
      <c r="H255" s="2" t="s">
        <v>1669</v>
      </c>
      <c r="I255" s="1" t="s">
        <v>14</v>
      </c>
      <c r="J255" s="1" t="s">
        <v>782</v>
      </c>
      <c r="L255" s="5">
        <v>0.246</v>
      </c>
      <c r="M255" s="35"/>
      <c r="N255" s="35"/>
      <c r="O255" s="35"/>
      <c r="P255" s="35"/>
      <c r="Q255" s="35"/>
      <c r="R255" s="6">
        <f>40.5*0.8</f>
        <v>32.4</v>
      </c>
      <c r="S255" s="35"/>
      <c r="T255" s="35"/>
      <c r="U255" s="35"/>
      <c r="V255" s="60" t="s">
        <v>1680</v>
      </c>
    </row>
    <row r="256" spans="1:22" ht="38.25" x14ac:dyDescent="0.2">
      <c r="A256" s="1" t="s">
        <v>174</v>
      </c>
      <c r="B256" s="2" t="s">
        <v>16</v>
      </c>
      <c r="C256" s="2" t="s">
        <v>175</v>
      </c>
      <c r="D256" s="2" t="s">
        <v>132</v>
      </c>
      <c r="E256" s="2">
        <v>2020</v>
      </c>
      <c r="F256" s="2" t="s">
        <v>256</v>
      </c>
      <c r="G256" s="2" t="s">
        <v>1667</v>
      </c>
      <c r="H256" s="2" t="s">
        <v>1669</v>
      </c>
      <c r="I256" s="1" t="s">
        <v>14</v>
      </c>
      <c r="J256" s="1" t="s">
        <v>929</v>
      </c>
      <c r="L256" s="5">
        <v>0.26960000000000001</v>
      </c>
      <c r="M256" s="35"/>
      <c r="N256" s="35"/>
      <c r="O256" s="35"/>
      <c r="P256" s="35"/>
      <c r="Q256" s="35"/>
      <c r="R256" s="6">
        <f>68.5*0.8</f>
        <v>54.800000000000004</v>
      </c>
      <c r="S256" s="6"/>
      <c r="T256" s="35"/>
      <c r="U256" s="35"/>
      <c r="V256" s="60" t="s">
        <v>1680</v>
      </c>
    </row>
    <row r="257" spans="1:22" ht="38.25" x14ac:dyDescent="0.2">
      <c r="A257" s="1" t="s">
        <v>174</v>
      </c>
      <c r="B257" s="2" t="s">
        <v>16</v>
      </c>
      <c r="C257" s="2" t="s">
        <v>175</v>
      </c>
      <c r="D257" s="2" t="s">
        <v>132</v>
      </c>
      <c r="E257" s="2">
        <v>2020</v>
      </c>
      <c r="F257" s="2" t="s">
        <v>276</v>
      </c>
      <c r="G257" s="2" t="s">
        <v>1667</v>
      </c>
      <c r="H257" s="2" t="s">
        <v>1669</v>
      </c>
      <c r="I257" s="1" t="s">
        <v>14</v>
      </c>
      <c r="J257" s="1" t="s">
        <v>1030</v>
      </c>
      <c r="L257" s="5">
        <v>0.29720000000000002</v>
      </c>
      <c r="M257" s="35"/>
      <c r="N257" s="35"/>
      <c r="O257" s="35"/>
      <c r="P257" s="35"/>
      <c r="Q257" s="35"/>
      <c r="R257" s="6">
        <f>54.5*0.8</f>
        <v>43.6</v>
      </c>
      <c r="S257" s="6"/>
      <c r="T257" s="35"/>
      <c r="U257" s="35"/>
      <c r="V257" s="60" t="s">
        <v>1680</v>
      </c>
    </row>
    <row r="258" spans="1:22" ht="38.25" x14ac:dyDescent="0.2">
      <c r="A258" s="1" t="s">
        <v>174</v>
      </c>
      <c r="B258" s="2" t="s">
        <v>16</v>
      </c>
      <c r="C258" s="2" t="s">
        <v>175</v>
      </c>
      <c r="D258" s="2" t="s">
        <v>132</v>
      </c>
      <c r="E258" s="2">
        <v>2020</v>
      </c>
      <c r="F258" s="2" t="s">
        <v>291</v>
      </c>
      <c r="G258" s="2" t="s">
        <v>1667</v>
      </c>
      <c r="H258" s="2" t="s">
        <v>1669</v>
      </c>
      <c r="I258" s="1" t="s">
        <v>14</v>
      </c>
      <c r="J258" s="1" t="s">
        <v>1195</v>
      </c>
      <c r="L258" s="5">
        <v>0.37569999999999998</v>
      </c>
      <c r="M258" s="35"/>
      <c r="N258" s="35"/>
      <c r="O258" s="35"/>
      <c r="P258" s="35"/>
      <c r="Q258" s="35"/>
      <c r="R258" s="6">
        <f>55.5*0.8</f>
        <v>44.400000000000006</v>
      </c>
      <c r="S258" s="6"/>
      <c r="T258" s="35"/>
      <c r="U258" s="35"/>
      <c r="V258" s="60" t="s">
        <v>1680</v>
      </c>
    </row>
    <row r="259" spans="1:22" ht="38.25" x14ac:dyDescent="0.2">
      <c r="A259" s="1" t="s">
        <v>174</v>
      </c>
      <c r="B259" s="2" t="s">
        <v>16</v>
      </c>
      <c r="C259" s="2" t="s">
        <v>175</v>
      </c>
      <c r="D259" s="2" t="s">
        <v>132</v>
      </c>
      <c r="E259" s="2">
        <v>2020</v>
      </c>
      <c r="F259" s="2" t="s">
        <v>311</v>
      </c>
      <c r="G259" s="2" t="s">
        <v>1667</v>
      </c>
      <c r="H259" s="2" t="s">
        <v>1669</v>
      </c>
      <c r="I259" s="1" t="s">
        <v>14</v>
      </c>
      <c r="J259" s="1" t="s">
        <v>1217</v>
      </c>
      <c r="L259" s="5">
        <v>0.29670000000000002</v>
      </c>
      <c r="M259" s="35"/>
      <c r="N259" s="35"/>
      <c r="O259" s="35"/>
      <c r="P259" s="35"/>
      <c r="Q259" s="35"/>
      <c r="R259" s="6">
        <f>50*0.8</f>
        <v>40</v>
      </c>
      <c r="S259" s="6"/>
      <c r="T259" s="35"/>
      <c r="U259" s="35"/>
      <c r="V259" s="60" t="s">
        <v>1680</v>
      </c>
    </row>
    <row r="260" spans="1:22" ht="38.25" x14ac:dyDescent="0.2">
      <c r="A260" s="1" t="s">
        <v>174</v>
      </c>
      <c r="B260" s="2" t="s">
        <v>16</v>
      </c>
      <c r="C260" s="2" t="s">
        <v>175</v>
      </c>
      <c r="D260" s="2" t="s">
        <v>132</v>
      </c>
      <c r="E260" s="2">
        <v>2020</v>
      </c>
      <c r="F260" s="2" t="s">
        <v>337</v>
      </c>
      <c r="G260" s="2" t="s">
        <v>1667</v>
      </c>
      <c r="H260" s="2" t="s">
        <v>1669</v>
      </c>
      <c r="I260" s="1" t="s">
        <v>14</v>
      </c>
      <c r="J260" s="1" t="s">
        <v>1432</v>
      </c>
      <c r="L260" s="5">
        <v>0.25469999999999998</v>
      </c>
      <c r="M260" s="35"/>
      <c r="N260" s="35"/>
      <c r="O260" s="35"/>
      <c r="P260" s="35"/>
      <c r="Q260" s="35"/>
      <c r="R260" s="6">
        <f>57*0.8</f>
        <v>45.6</v>
      </c>
      <c r="S260" s="6"/>
      <c r="T260" s="35"/>
      <c r="U260" s="35"/>
      <c r="V260" s="60" t="s">
        <v>1680</v>
      </c>
    </row>
    <row r="261" spans="1:22" ht="38.25" x14ac:dyDescent="0.2">
      <c r="A261" s="1" t="s">
        <v>174</v>
      </c>
      <c r="B261" s="2" t="s">
        <v>16</v>
      </c>
      <c r="C261" s="2" t="s">
        <v>175</v>
      </c>
      <c r="D261" s="2" t="s">
        <v>132</v>
      </c>
      <c r="E261" s="2">
        <v>2020</v>
      </c>
      <c r="F261" s="2" t="s">
        <v>364</v>
      </c>
      <c r="G261" s="2" t="s">
        <v>1667</v>
      </c>
      <c r="H261" s="2" t="s">
        <v>1669</v>
      </c>
      <c r="I261" s="1" t="s">
        <v>14</v>
      </c>
      <c r="J261" s="1" t="s">
        <v>1516</v>
      </c>
      <c r="L261" s="5">
        <v>0.26050000000000001</v>
      </c>
      <c r="M261" s="35"/>
      <c r="N261" s="35"/>
      <c r="O261" s="35"/>
      <c r="P261" s="35"/>
      <c r="Q261" s="35"/>
      <c r="R261" s="6">
        <f>58*0.8</f>
        <v>46.400000000000006</v>
      </c>
      <c r="S261" s="6"/>
      <c r="T261" s="35"/>
      <c r="U261" s="35"/>
      <c r="V261" s="60" t="s">
        <v>1680</v>
      </c>
    </row>
    <row r="262" spans="1:22" ht="38.25" x14ac:dyDescent="0.2">
      <c r="A262" s="1" t="s">
        <v>174</v>
      </c>
      <c r="B262" s="2" t="s">
        <v>16</v>
      </c>
      <c r="C262" s="2" t="s">
        <v>175</v>
      </c>
      <c r="D262" s="2" t="s">
        <v>132</v>
      </c>
      <c r="E262" s="2">
        <v>2020</v>
      </c>
      <c r="F262" s="2" t="s">
        <v>388</v>
      </c>
      <c r="G262" s="2" t="s">
        <v>1667</v>
      </c>
      <c r="H262" s="2" t="s">
        <v>1669</v>
      </c>
      <c r="I262" s="1" t="s">
        <v>14</v>
      </c>
      <c r="J262" s="1" t="s">
        <v>1627</v>
      </c>
      <c r="L262" s="5">
        <v>0.25240000000000001</v>
      </c>
      <c r="M262" s="35"/>
      <c r="N262" s="35"/>
      <c r="O262" s="35"/>
      <c r="P262" s="35"/>
      <c r="Q262" s="35"/>
      <c r="R262" s="35">
        <f>61*0.8</f>
        <v>48.800000000000004</v>
      </c>
      <c r="S262" s="35"/>
      <c r="T262" s="35"/>
      <c r="U262" s="35"/>
      <c r="V262" s="60" t="s">
        <v>1680</v>
      </c>
    </row>
    <row r="263" spans="1:22" ht="63.75" x14ac:dyDescent="0.2">
      <c r="A263" s="1" t="s">
        <v>41</v>
      </c>
      <c r="B263" s="2" t="s">
        <v>38</v>
      </c>
      <c r="C263" s="2" t="s">
        <v>42</v>
      </c>
      <c r="D263" s="2" t="s">
        <v>43</v>
      </c>
      <c r="E263" s="2">
        <v>2020</v>
      </c>
      <c r="F263" s="2" t="s">
        <v>13</v>
      </c>
      <c r="G263" s="2" t="s">
        <v>1667</v>
      </c>
      <c r="H263" s="2" t="s">
        <v>1669</v>
      </c>
      <c r="I263" s="1" t="s">
        <v>14</v>
      </c>
      <c r="J263" s="1" t="s">
        <v>514</v>
      </c>
      <c r="L263" s="34" t="s">
        <v>1685</v>
      </c>
      <c r="M263" s="35"/>
      <c r="N263" s="35">
        <f>775.17+235.15</f>
        <v>1010.3199999999999</v>
      </c>
      <c r="O263" s="35"/>
      <c r="P263" s="35"/>
      <c r="Q263" s="35"/>
      <c r="R263" s="35"/>
      <c r="S263" s="35"/>
      <c r="T263" s="35"/>
      <c r="U263" s="35"/>
      <c r="V263" s="60" t="s">
        <v>3078</v>
      </c>
    </row>
    <row r="264" spans="1:22" ht="63.75" x14ac:dyDescent="0.2">
      <c r="A264" s="1" t="s">
        <v>41</v>
      </c>
      <c r="B264" s="2" t="s">
        <v>38</v>
      </c>
      <c r="C264" s="2" t="s">
        <v>42</v>
      </c>
      <c r="D264" s="2" t="s">
        <v>43</v>
      </c>
      <c r="E264" s="2">
        <v>2020</v>
      </c>
      <c r="F264" s="2" t="s">
        <v>188</v>
      </c>
      <c r="G264" s="2" t="s">
        <v>1667</v>
      </c>
      <c r="H264" s="2" t="s">
        <v>1669</v>
      </c>
      <c r="I264" s="1" t="s">
        <v>14</v>
      </c>
      <c r="J264" s="1" t="s">
        <v>577</v>
      </c>
      <c r="L264" s="34" t="s">
        <v>1686</v>
      </c>
      <c r="M264" s="35"/>
      <c r="N264" s="35">
        <f>222.59+221.91</f>
        <v>444.5</v>
      </c>
      <c r="O264" s="35"/>
      <c r="P264" s="35"/>
      <c r="Q264" s="35"/>
      <c r="R264" s="14"/>
      <c r="S264" s="35"/>
      <c r="T264" s="35"/>
      <c r="U264" s="35"/>
      <c r="V264" s="60" t="s">
        <v>3078</v>
      </c>
    </row>
    <row r="265" spans="1:22" ht="63.75" x14ac:dyDescent="0.2">
      <c r="A265" s="1" t="s">
        <v>41</v>
      </c>
      <c r="B265" s="2" t="s">
        <v>38</v>
      </c>
      <c r="C265" s="2" t="s">
        <v>42</v>
      </c>
      <c r="D265" s="2" t="s">
        <v>43</v>
      </c>
      <c r="E265" s="2">
        <v>2020</v>
      </c>
      <c r="F265" s="2" t="s">
        <v>203</v>
      </c>
      <c r="G265" s="2" t="s">
        <v>1667</v>
      </c>
      <c r="H265" s="2" t="s">
        <v>1669</v>
      </c>
      <c r="I265" s="1" t="s">
        <v>14</v>
      </c>
      <c r="J265" s="1" t="s">
        <v>613</v>
      </c>
      <c r="L265" s="34" t="s">
        <v>1692</v>
      </c>
      <c r="M265" s="35"/>
      <c r="N265" s="39">
        <f>686.83+212.53</f>
        <v>899.36</v>
      </c>
      <c r="O265" s="35"/>
      <c r="P265" s="35"/>
      <c r="Q265" s="35"/>
      <c r="R265" s="14"/>
      <c r="S265" s="35"/>
      <c r="T265" s="35"/>
      <c r="U265" s="35"/>
      <c r="V265" s="60" t="s">
        <v>3079</v>
      </c>
    </row>
    <row r="266" spans="1:22" ht="51" x14ac:dyDescent="0.2">
      <c r="A266" s="1" t="s">
        <v>41</v>
      </c>
      <c r="B266" s="2" t="s">
        <v>38</v>
      </c>
      <c r="C266" s="2" t="s">
        <v>42</v>
      </c>
      <c r="D266" s="2" t="s">
        <v>43</v>
      </c>
      <c r="E266" s="2">
        <v>2020</v>
      </c>
      <c r="F266" s="2" t="s">
        <v>211</v>
      </c>
      <c r="G266" s="2" t="s">
        <v>1667</v>
      </c>
      <c r="H266" s="2" t="s">
        <v>1669</v>
      </c>
      <c r="I266" s="1" t="s">
        <v>14</v>
      </c>
      <c r="J266" s="1" t="s">
        <v>717</v>
      </c>
      <c r="L266" s="34">
        <v>0.25409999999999999</v>
      </c>
      <c r="M266" s="3"/>
      <c r="N266" s="35">
        <v>1321.7</v>
      </c>
      <c r="O266" s="35"/>
      <c r="P266" s="35"/>
      <c r="Q266" s="35"/>
      <c r="R266" s="14"/>
      <c r="S266" s="35"/>
      <c r="T266" s="35"/>
      <c r="U266" s="35"/>
      <c r="V266" s="60" t="s">
        <v>3078</v>
      </c>
    </row>
    <row r="267" spans="1:22" ht="63.75" x14ac:dyDescent="0.2">
      <c r="A267" s="1" t="s">
        <v>41</v>
      </c>
      <c r="B267" s="2" t="s">
        <v>38</v>
      </c>
      <c r="C267" s="2" t="s">
        <v>42</v>
      </c>
      <c r="D267" s="2" t="s">
        <v>43</v>
      </c>
      <c r="E267" s="2">
        <v>2020</v>
      </c>
      <c r="F267" s="2" t="s">
        <v>221</v>
      </c>
      <c r="G267" s="2" t="s">
        <v>1667</v>
      </c>
      <c r="H267" s="2" t="s">
        <v>1669</v>
      </c>
      <c r="I267" s="1" t="s">
        <v>14</v>
      </c>
      <c r="J267" s="1" t="s">
        <v>820</v>
      </c>
      <c r="L267" s="34" t="s">
        <v>1687</v>
      </c>
      <c r="M267" s="35"/>
      <c r="N267" s="35">
        <f>649.7+293.28</f>
        <v>942.98</v>
      </c>
      <c r="O267" s="35"/>
      <c r="P267" s="35"/>
      <c r="Q267" s="35"/>
      <c r="R267" s="14"/>
      <c r="S267" s="14"/>
      <c r="T267" s="35"/>
      <c r="U267" s="35"/>
      <c r="V267" s="60" t="s">
        <v>3078</v>
      </c>
    </row>
    <row r="268" spans="1:22" ht="63.75" x14ac:dyDescent="0.2">
      <c r="A268" s="1" t="s">
        <v>41</v>
      </c>
      <c r="B268" s="2" t="s">
        <v>38</v>
      </c>
      <c r="C268" s="2" t="s">
        <v>42</v>
      </c>
      <c r="D268" s="2" t="s">
        <v>43</v>
      </c>
      <c r="E268" s="2">
        <v>2020</v>
      </c>
      <c r="F268" s="2" t="s">
        <v>256</v>
      </c>
      <c r="G268" s="2" t="s">
        <v>1667</v>
      </c>
      <c r="H268" s="2" t="s">
        <v>1669</v>
      </c>
      <c r="I268" s="1" t="s">
        <v>14</v>
      </c>
      <c r="J268" s="1" t="s">
        <v>899</v>
      </c>
      <c r="L268" s="34" t="s">
        <v>1688</v>
      </c>
      <c r="M268" s="35"/>
      <c r="N268" s="35">
        <f>928.81+294.7</f>
        <v>1223.51</v>
      </c>
      <c r="O268" s="35"/>
      <c r="P268" s="35"/>
      <c r="Q268" s="35"/>
      <c r="R268" s="14"/>
      <c r="S268" s="14"/>
      <c r="T268" s="35"/>
      <c r="U268" s="35"/>
      <c r="V268" s="60" t="s">
        <v>3078</v>
      </c>
    </row>
    <row r="269" spans="1:22" ht="76.5" x14ac:dyDescent="0.2">
      <c r="A269" s="1" t="s">
        <v>41</v>
      </c>
      <c r="B269" s="2" t="s">
        <v>38</v>
      </c>
      <c r="C269" s="2" t="s">
        <v>42</v>
      </c>
      <c r="D269" s="2" t="s">
        <v>43</v>
      </c>
      <c r="E269" s="2">
        <v>2020</v>
      </c>
      <c r="F269" s="2" t="s">
        <v>276</v>
      </c>
      <c r="G269" s="2" t="s">
        <v>1667</v>
      </c>
      <c r="H269" s="2" t="s">
        <v>1669</v>
      </c>
      <c r="I269" s="1" t="s">
        <v>14</v>
      </c>
      <c r="J269" s="1" t="s">
        <v>1007</v>
      </c>
      <c r="L269" s="34" t="s">
        <v>1689</v>
      </c>
      <c r="M269" s="35"/>
      <c r="N269" s="35">
        <f>585.01+210.71</f>
        <v>795.72</v>
      </c>
      <c r="O269" s="35"/>
      <c r="P269" s="35"/>
      <c r="Q269" s="35"/>
      <c r="R269" s="14"/>
      <c r="S269" s="14"/>
      <c r="T269" s="35"/>
      <c r="U269" s="35"/>
      <c r="V269" s="60" t="s">
        <v>3078</v>
      </c>
    </row>
    <row r="270" spans="1:22" ht="76.5" x14ac:dyDescent="0.2">
      <c r="A270" s="1" t="s">
        <v>41</v>
      </c>
      <c r="B270" s="2" t="s">
        <v>38</v>
      </c>
      <c r="C270" s="2" t="s">
        <v>42</v>
      </c>
      <c r="D270" s="2" t="s">
        <v>43</v>
      </c>
      <c r="E270" s="2">
        <v>2020</v>
      </c>
      <c r="F270" s="2" t="s">
        <v>291</v>
      </c>
      <c r="G270" s="2" t="s">
        <v>1667</v>
      </c>
      <c r="H270" s="2" t="s">
        <v>1669</v>
      </c>
      <c r="I270" s="1" t="s">
        <v>14</v>
      </c>
      <c r="J270" s="1" t="s">
        <v>1084</v>
      </c>
      <c r="L270" s="34" t="s">
        <v>1690</v>
      </c>
      <c r="M270" s="35"/>
      <c r="N270" s="35">
        <f>937.05+261.67</f>
        <v>1198.72</v>
      </c>
      <c r="O270" s="35"/>
      <c r="P270" s="35"/>
      <c r="Q270" s="35"/>
      <c r="R270" s="14"/>
      <c r="S270" s="14"/>
      <c r="T270" s="35"/>
      <c r="U270" s="35"/>
      <c r="V270" s="60" t="s">
        <v>3078</v>
      </c>
    </row>
    <row r="271" spans="1:22" ht="76.5" x14ac:dyDescent="0.2">
      <c r="A271" s="1" t="s">
        <v>41</v>
      </c>
      <c r="B271" s="2" t="s">
        <v>38</v>
      </c>
      <c r="C271" s="2" t="s">
        <v>42</v>
      </c>
      <c r="D271" s="2" t="s">
        <v>43</v>
      </c>
      <c r="E271" s="2">
        <v>2020</v>
      </c>
      <c r="F271" s="2" t="s">
        <v>311</v>
      </c>
      <c r="G271" s="2" t="s">
        <v>1667</v>
      </c>
      <c r="H271" s="2" t="s">
        <v>1669</v>
      </c>
      <c r="I271" s="1" t="s">
        <v>14</v>
      </c>
      <c r="J271" s="1" t="s">
        <v>1299</v>
      </c>
      <c r="L271" s="34" t="s">
        <v>1691</v>
      </c>
      <c r="M271" s="35"/>
      <c r="N271" s="35">
        <f>1712.53+28.17</f>
        <v>1740.7</v>
      </c>
      <c r="O271" s="35"/>
      <c r="P271" s="35"/>
      <c r="Q271" s="35"/>
      <c r="R271" s="14"/>
      <c r="S271" s="14"/>
      <c r="T271" s="35"/>
      <c r="U271" s="35"/>
      <c r="V271" s="60" t="s">
        <v>3078</v>
      </c>
    </row>
    <row r="272" spans="1:22" ht="63.75" x14ac:dyDescent="0.2">
      <c r="A272" s="1" t="s">
        <v>41</v>
      </c>
      <c r="B272" s="2" t="s">
        <v>38</v>
      </c>
      <c r="C272" s="2" t="s">
        <v>42</v>
      </c>
      <c r="D272" s="2" t="s">
        <v>43</v>
      </c>
      <c r="E272" s="2">
        <v>2020</v>
      </c>
      <c r="F272" s="2" t="s">
        <v>337</v>
      </c>
      <c r="G272" s="2" t="s">
        <v>1667</v>
      </c>
      <c r="H272" s="2" t="s">
        <v>1669</v>
      </c>
      <c r="I272" s="1" t="s">
        <v>14</v>
      </c>
      <c r="J272" s="1" t="s">
        <v>1344</v>
      </c>
      <c r="L272" s="34">
        <v>0.22800000000000001</v>
      </c>
      <c r="M272" s="3"/>
      <c r="N272" s="35">
        <v>1990.69</v>
      </c>
      <c r="O272" s="35"/>
      <c r="P272" s="35"/>
      <c r="Q272" s="35"/>
      <c r="R272" s="14"/>
      <c r="S272" s="14"/>
      <c r="T272" s="35"/>
      <c r="U272" s="35"/>
      <c r="V272" s="60" t="s">
        <v>3078</v>
      </c>
    </row>
    <row r="273" spans="1:22" ht="63.75" x14ac:dyDescent="0.2">
      <c r="A273" s="1" t="s">
        <v>41</v>
      </c>
      <c r="B273" s="2" t="s">
        <v>38</v>
      </c>
      <c r="C273" s="2" t="s">
        <v>42</v>
      </c>
      <c r="D273" s="2" t="s">
        <v>43</v>
      </c>
      <c r="E273" s="2">
        <v>2020</v>
      </c>
      <c r="F273" s="2" t="s">
        <v>364</v>
      </c>
      <c r="G273" s="2" t="s">
        <v>1667</v>
      </c>
      <c r="H273" s="2" t="s">
        <v>1669</v>
      </c>
      <c r="I273" s="1" t="s">
        <v>14</v>
      </c>
      <c r="J273" s="1" t="s">
        <v>1478</v>
      </c>
      <c r="L273" s="34">
        <v>0.22989999999999999</v>
      </c>
      <c r="M273" s="3"/>
      <c r="N273" s="35">
        <v>1939.97</v>
      </c>
      <c r="O273" s="35"/>
      <c r="P273" s="35"/>
      <c r="Q273" s="35"/>
      <c r="R273" s="14"/>
      <c r="S273" s="14"/>
      <c r="T273" s="35"/>
      <c r="U273" s="35"/>
      <c r="V273" s="60" t="s">
        <v>3078</v>
      </c>
    </row>
    <row r="274" spans="1:22" ht="63.75" x14ac:dyDescent="0.2">
      <c r="A274" s="1" t="s">
        <v>41</v>
      </c>
      <c r="B274" s="2" t="s">
        <v>38</v>
      </c>
      <c r="C274" s="2" t="s">
        <v>42</v>
      </c>
      <c r="D274" s="2" t="s">
        <v>43</v>
      </c>
      <c r="E274" s="2">
        <v>2020</v>
      </c>
      <c r="F274" s="2" t="s">
        <v>388</v>
      </c>
      <c r="G274" s="2" t="s">
        <v>1667</v>
      </c>
      <c r="H274" s="2" t="s">
        <v>1669</v>
      </c>
      <c r="I274" s="1" t="s">
        <v>14</v>
      </c>
      <c r="J274" s="1" t="s">
        <v>1611</v>
      </c>
      <c r="L274" s="34">
        <v>0.22670000000000001</v>
      </c>
      <c r="M274" s="3"/>
      <c r="N274" s="35">
        <v>2620.44</v>
      </c>
      <c r="O274" s="35"/>
      <c r="P274" s="35"/>
      <c r="Q274" s="35"/>
      <c r="R274" s="35"/>
      <c r="S274" s="35"/>
      <c r="T274" s="35"/>
      <c r="U274" s="35"/>
      <c r="V274" s="60" t="s">
        <v>3078</v>
      </c>
    </row>
    <row r="275" spans="1:22" ht="153" x14ac:dyDescent="0.2">
      <c r="A275" s="1" t="s">
        <v>52</v>
      </c>
      <c r="B275" s="2" t="s">
        <v>53</v>
      </c>
      <c r="C275" s="2" t="s">
        <v>54</v>
      </c>
      <c r="D275" s="2" t="s">
        <v>55</v>
      </c>
      <c r="E275" s="2">
        <v>2020</v>
      </c>
      <c r="F275" s="2" t="s">
        <v>13</v>
      </c>
      <c r="G275" s="2" t="s">
        <v>1667</v>
      </c>
      <c r="H275" s="2" t="s">
        <v>1669</v>
      </c>
      <c r="I275" s="1" t="s">
        <v>14</v>
      </c>
      <c r="J275" s="1" t="s">
        <v>526</v>
      </c>
      <c r="L275" s="34">
        <v>0.16639999999999999</v>
      </c>
      <c r="M275" s="35"/>
      <c r="N275" s="35">
        <v>1561.19</v>
      </c>
      <c r="O275" s="35"/>
      <c r="P275" s="35"/>
      <c r="Q275" s="35"/>
      <c r="R275" s="35"/>
      <c r="S275" s="35"/>
      <c r="T275" s="35"/>
      <c r="U275" s="35"/>
    </row>
    <row r="276" spans="1:22" ht="127.5" x14ac:dyDescent="0.2">
      <c r="A276" s="1" t="s">
        <v>52</v>
      </c>
      <c r="B276" s="2" t="s">
        <v>53</v>
      </c>
      <c r="C276" s="2" t="s">
        <v>54</v>
      </c>
      <c r="D276" s="2" t="s">
        <v>55</v>
      </c>
      <c r="E276" s="2">
        <v>2020</v>
      </c>
      <c r="F276" s="2" t="s">
        <v>188</v>
      </c>
      <c r="G276" s="2" t="s">
        <v>1667</v>
      </c>
      <c r="H276" s="2" t="s">
        <v>1669</v>
      </c>
      <c r="I276" s="1" t="s">
        <v>14</v>
      </c>
      <c r="J276" s="1" t="s">
        <v>582</v>
      </c>
      <c r="L276" s="34">
        <v>0.158</v>
      </c>
      <c r="M276" s="35"/>
      <c r="N276" s="35">
        <v>1630.07</v>
      </c>
      <c r="O276" s="35"/>
      <c r="P276" s="35"/>
      <c r="Q276" s="35"/>
      <c r="R276" s="14"/>
      <c r="S276" s="35"/>
      <c r="T276" s="35"/>
      <c r="U276" s="35"/>
    </row>
    <row r="277" spans="1:22" ht="153" x14ac:dyDescent="0.2">
      <c r="A277" s="1" t="s">
        <v>52</v>
      </c>
      <c r="B277" s="2" t="s">
        <v>53</v>
      </c>
      <c r="C277" s="2" t="s">
        <v>54</v>
      </c>
      <c r="D277" s="2" t="s">
        <v>55</v>
      </c>
      <c r="E277" s="2">
        <v>2020</v>
      </c>
      <c r="F277" s="2" t="s">
        <v>203</v>
      </c>
      <c r="G277" s="2" t="s">
        <v>1667</v>
      </c>
      <c r="H277" s="2" t="s">
        <v>1669</v>
      </c>
      <c r="I277" s="1" t="s">
        <v>14</v>
      </c>
      <c r="J277" s="1" t="s">
        <v>637</v>
      </c>
      <c r="L277" s="34">
        <v>0.16889999999999999</v>
      </c>
      <c r="M277" s="35"/>
      <c r="N277" s="35">
        <v>1586</v>
      </c>
      <c r="O277" s="35"/>
      <c r="P277" s="35"/>
      <c r="Q277" s="35"/>
      <c r="R277" s="14"/>
      <c r="S277" s="35"/>
      <c r="T277" s="35"/>
      <c r="U277" s="35"/>
      <c r="V277" s="60" t="s">
        <v>3080</v>
      </c>
    </row>
    <row r="278" spans="1:22" ht="140.25" x14ac:dyDescent="0.2">
      <c r="A278" s="1" t="s">
        <v>52</v>
      </c>
      <c r="B278" s="2" t="s">
        <v>53</v>
      </c>
      <c r="C278" s="2" t="s">
        <v>54</v>
      </c>
      <c r="D278" s="2" t="s">
        <v>55</v>
      </c>
      <c r="E278" s="2">
        <v>2020</v>
      </c>
      <c r="F278" s="2" t="s">
        <v>211</v>
      </c>
      <c r="G278" s="2" t="s">
        <v>1667</v>
      </c>
      <c r="H278" s="2" t="s">
        <v>1669</v>
      </c>
      <c r="I278" s="1" t="s">
        <v>14</v>
      </c>
      <c r="J278" s="1" t="s">
        <v>750</v>
      </c>
      <c r="L278" s="34">
        <v>0.16109999999999999</v>
      </c>
      <c r="M278" s="35"/>
      <c r="N278" s="35">
        <v>1463.47</v>
      </c>
      <c r="O278" s="35"/>
      <c r="P278" s="35"/>
      <c r="Q278" s="35"/>
      <c r="R278" s="14"/>
      <c r="S278" s="35"/>
      <c r="T278" s="35"/>
      <c r="U278" s="35"/>
      <c r="V278" s="60" t="s">
        <v>3081</v>
      </c>
    </row>
    <row r="279" spans="1:22" ht="204" x14ac:dyDescent="0.2">
      <c r="A279" s="1" t="s">
        <v>52</v>
      </c>
      <c r="B279" s="2" t="s">
        <v>53</v>
      </c>
      <c r="C279" s="2" t="s">
        <v>54</v>
      </c>
      <c r="D279" s="2" t="s">
        <v>55</v>
      </c>
      <c r="E279" s="2">
        <v>2020</v>
      </c>
      <c r="F279" s="2" t="s">
        <v>221</v>
      </c>
      <c r="G279" s="2" t="s">
        <v>1667</v>
      </c>
      <c r="H279" s="2" t="s">
        <v>1669</v>
      </c>
      <c r="I279" s="1" t="s">
        <v>14</v>
      </c>
      <c r="J279" s="1" t="s">
        <v>807</v>
      </c>
      <c r="L279" s="34">
        <v>0.15790000000000001</v>
      </c>
      <c r="M279" s="35"/>
      <c r="N279" s="35">
        <v>1801.1</v>
      </c>
      <c r="O279" s="35"/>
      <c r="P279" s="35"/>
      <c r="Q279" s="35"/>
      <c r="R279" s="14"/>
      <c r="S279" s="14"/>
      <c r="T279" s="35"/>
      <c r="U279" s="35"/>
    </row>
    <row r="280" spans="1:22" ht="153" x14ac:dyDescent="0.2">
      <c r="A280" s="1" t="s">
        <v>52</v>
      </c>
      <c r="B280" s="2" t="s">
        <v>53</v>
      </c>
      <c r="C280" s="2" t="s">
        <v>54</v>
      </c>
      <c r="D280" s="2" t="s">
        <v>55</v>
      </c>
      <c r="E280" s="2">
        <v>2020</v>
      </c>
      <c r="F280" s="2" t="s">
        <v>256</v>
      </c>
      <c r="G280" s="2" t="s">
        <v>1667</v>
      </c>
      <c r="H280" s="2" t="s">
        <v>1669</v>
      </c>
      <c r="I280" s="1" t="s">
        <v>14</v>
      </c>
      <c r="J280" s="1" t="s">
        <v>924</v>
      </c>
      <c r="L280" s="34">
        <v>0.16209999999999999</v>
      </c>
      <c r="M280" s="35"/>
      <c r="N280" s="35">
        <v>1899.87</v>
      </c>
      <c r="O280" s="35"/>
      <c r="P280" s="35"/>
      <c r="Q280" s="35"/>
      <c r="R280" s="14"/>
      <c r="S280" s="14"/>
      <c r="T280" s="35"/>
      <c r="U280" s="35"/>
    </row>
    <row r="281" spans="1:22" ht="165.75" x14ac:dyDescent="0.2">
      <c r="A281" s="1" t="s">
        <v>52</v>
      </c>
      <c r="B281" s="2" t="s">
        <v>53</v>
      </c>
      <c r="C281" s="2" t="s">
        <v>54</v>
      </c>
      <c r="D281" s="2" t="s">
        <v>55</v>
      </c>
      <c r="E281" s="2">
        <v>2020</v>
      </c>
      <c r="F281" s="2" t="s">
        <v>276</v>
      </c>
      <c r="G281" s="2" t="s">
        <v>1667</v>
      </c>
      <c r="H281" s="2" t="s">
        <v>1669</v>
      </c>
      <c r="I281" s="1" t="s">
        <v>14</v>
      </c>
      <c r="J281" s="1" t="s">
        <v>1040</v>
      </c>
      <c r="L281" s="34">
        <v>0.1686</v>
      </c>
      <c r="M281" s="35"/>
      <c r="N281" s="35">
        <v>1528.91</v>
      </c>
      <c r="O281" s="35"/>
      <c r="P281" s="35"/>
      <c r="Q281" s="35"/>
      <c r="R281" s="14"/>
      <c r="S281" s="14"/>
      <c r="T281" s="35"/>
      <c r="U281" s="35"/>
    </row>
    <row r="282" spans="1:22" ht="140.25" x14ac:dyDescent="0.2">
      <c r="A282" s="1" t="s">
        <v>52</v>
      </c>
      <c r="B282" s="2" t="s">
        <v>53</v>
      </c>
      <c r="C282" s="2" t="s">
        <v>54</v>
      </c>
      <c r="D282" s="2" t="s">
        <v>55</v>
      </c>
      <c r="E282" s="2">
        <v>2020</v>
      </c>
      <c r="F282" s="2" t="s">
        <v>291</v>
      </c>
      <c r="G282" s="2" t="s">
        <v>1667</v>
      </c>
      <c r="H282" s="2" t="s">
        <v>1669</v>
      </c>
      <c r="I282" s="1" t="s">
        <v>14</v>
      </c>
      <c r="J282" s="1" t="s">
        <v>1119</v>
      </c>
      <c r="L282" s="34">
        <v>0.1661</v>
      </c>
      <c r="M282" s="35"/>
      <c r="N282" s="35">
        <v>1308.3699999999999</v>
      </c>
      <c r="O282" s="35"/>
      <c r="P282" s="35"/>
      <c r="Q282" s="35"/>
      <c r="R282" s="14"/>
      <c r="S282" s="14"/>
      <c r="T282" s="35"/>
      <c r="U282" s="35"/>
    </row>
    <row r="283" spans="1:22" ht="140.25" x14ac:dyDescent="0.2">
      <c r="A283" s="1" t="s">
        <v>52</v>
      </c>
      <c r="B283" s="2" t="s">
        <v>53</v>
      </c>
      <c r="C283" s="2" t="s">
        <v>54</v>
      </c>
      <c r="D283" s="2" t="s">
        <v>55</v>
      </c>
      <c r="E283" s="2">
        <v>2020</v>
      </c>
      <c r="F283" s="2" t="s">
        <v>311</v>
      </c>
      <c r="G283" s="2" t="s">
        <v>1667</v>
      </c>
      <c r="H283" s="2" t="s">
        <v>1669</v>
      </c>
      <c r="I283" s="1" t="s">
        <v>14</v>
      </c>
      <c r="J283" s="1" t="s">
        <v>1289</v>
      </c>
      <c r="L283" s="34">
        <v>0.1583</v>
      </c>
      <c r="M283" s="35"/>
      <c r="N283" s="35">
        <v>1683.85</v>
      </c>
      <c r="O283" s="35"/>
      <c r="P283" s="35"/>
      <c r="Q283" s="35"/>
      <c r="R283" s="14"/>
      <c r="S283" s="14"/>
      <c r="T283" s="35"/>
      <c r="U283" s="35"/>
    </row>
    <row r="284" spans="1:22" ht="140.25" x14ac:dyDescent="0.2">
      <c r="A284" s="1" t="s">
        <v>52</v>
      </c>
      <c r="B284" s="2" t="s">
        <v>53</v>
      </c>
      <c r="C284" s="2" t="s">
        <v>54</v>
      </c>
      <c r="D284" s="2" t="s">
        <v>55</v>
      </c>
      <c r="E284" s="2">
        <v>2020</v>
      </c>
      <c r="F284" s="2" t="s">
        <v>337</v>
      </c>
      <c r="G284" s="2" t="s">
        <v>1667</v>
      </c>
      <c r="H284" s="2" t="s">
        <v>1669</v>
      </c>
      <c r="I284" s="1" t="s">
        <v>14</v>
      </c>
      <c r="J284" s="1" t="s">
        <v>1424</v>
      </c>
      <c r="L284" s="34">
        <v>0.1613</v>
      </c>
      <c r="M284" s="35"/>
      <c r="N284" s="35">
        <v>1532.75</v>
      </c>
      <c r="O284" s="35"/>
      <c r="P284" s="35"/>
      <c r="Q284" s="35"/>
      <c r="R284" s="14"/>
      <c r="S284" s="14"/>
      <c r="T284" s="35"/>
      <c r="U284" s="35"/>
    </row>
    <row r="285" spans="1:22" ht="140.25" x14ac:dyDescent="0.2">
      <c r="A285" s="1" t="s">
        <v>52</v>
      </c>
      <c r="B285" s="2" t="s">
        <v>53</v>
      </c>
      <c r="C285" s="2" t="s">
        <v>54</v>
      </c>
      <c r="D285" s="2" t="s">
        <v>55</v>
      </c>
      <c r="E285" s="2">
        <v>2020</v>
      </c>
      <c r="F285" s="2" t="s">
        <v>364</v>
      </c>
      <c r="G285" s="2" t="s">
        <v>1667</v>
      </c>
      <c r="H285" s="2" t="s">
        <v>1669</v>
      </c>
      <c r="I285" s="1" t="s">
        <v>14</v>
      </c>
      <c r="J285" s="1" t="s">
        <v>1573</v>
      </c>
      <c r="L285" s="34">
        <v>0.16159999999999999</v>
      </c>
      <c r="M285" s="35"/>
      <c r="N285" s="35">
        <v>1453.87</v>
      </c>
      <c r="O285" s="35"/>
      <c r="P285" s="35"/>
      <c r="Q285" s="35"/>
      <c r="R285" s="14"/>
      <c r="S285" s="14"/>
      <c r="T285" s="35"/>
      <c r="U285" s="35"/>
    </row>
    <row r="286" spans="1:22" ht="38.25" x14ac:dyDescent="0.2">
      <c r="A286" s="1" t="s">
        <v>1535</v>
      </c>
      <c r="B286" s="2" t="s">
        <v>222</v>
      </c>
      <c r="C286" s="2" t="s">
        <v>1536</v>
      </c>
      <c r="D286" s="2" t="s">
        <v>1417</v>
      </c>
      <c r="E286" s="2">
        <v>2020</v>
      </c>
      <c r="F286" s="2" t="s">
        <v>364</v>
      </c>
      <c r="G286" s="2" t="s">
        <v>1669</v>
      </c>
      <c r="H286" s="2" t="s">
        <v>1669</v>
      </c>
      <c r="I286" s="1" t="s">
        <v>1537</v>
      </c>
      <c r="J286" s="1" t="s">
        <v>1538</v>
      </c>
      <c r="L286" s="34">
        <v>1.2999999999999999E-2</v>
      </c>
      <c r="M286" s="35">
        <v>49.19</v>
      </c>
      <c r="N286" s="35"/>
      <c r="O286" s="35"/>
      <c r="P286" s="35"/>
      <c r="Q286" s="35"/>
      <c r="R286" s="14"/>
      <c r="S286" s="14"/>
      <c r="T286" s="35"/>
      <c r="U286" s="35"/>
      <c r="V286" s="60" t="s">
        <v>1699</v>
      </c>
    </row>
    <row r="287" spans="1:22" ht="38.25" x14ac:dyDescent="0.2">
      <c r="A287" s="1" t="s">
        <v>130</v>
      </c>
      <c r="B287" s="2" t="s">
        <v>10</v>
      </c>
      <c r="C287" s="2" t="s">
        <v>131</v>
      </c>
      <c r="D287" s="2" t="s">
        <v>132</v>
      </c>
      <c r="E287" s="2">
        <v>2020</v>
      </c>
      <c r="F287" s="2" t="s">
        <v>13</v>
      </c>
      <c r="G287" s="2" t="s">
        <v>1667</v>
      </c>
      <c r="H287" s="2" t="s">
        <v>1669</v>
      </c>
      <c r="I287" s="1" t="s">
        <v>14</v>
      </c>
      <c r="J287" s="1" t="s">
        <v>544</v>
      </c>
      <c r="L287" s="5"/>
      <c r="M287" s="35"/>
      <c r="N287" s="35"/>
      <c r="O287" s="35"/>
      <c r="P287" s="35"/>
      <c r="Q287" s="35"/>
      <c r="R287" s="37"/>
      <c r="S287" s="35"/>
      <c r="T287" s="35"/>
      <c r="U287" s="35"/>
      <c r="V287" s="60" t="s">
        <v>1735</v>
      </c>
    </row>
    <row r="288" spans="1:22" ht="38.25" x14ac:dyDescent="0.2">
      <c r="A288" s="1" t="s">
        <v>130</v>
      </c>
      <c r="B288" s="2" t="s">
        <v>10</v>
      </c>
      <c r="C288" s="2" t="s">
        <v>131</v>
      </c>
      <c r="D288" s="2" t="s">
        <v>132</v>
      </c>
      <c r="E288" s="2">
        <v>2020</v>
      </c>
      <c r="F288" s="2" t="s">
        <v>188</v>
      </c>
      <c r="G288" s="2" t="s">
        <v>1667</v>
      </c>
      <c r="H288" s="2" t="s">
        <v>1669</v>
      </c>
      <c r="I288" s="1" t="s">
        <v>14</v>
      </c>
      <c r="J288" s="1" t="s">
        <v>416</v>
      </c>
      <c r="L288" s="34"/>
      <c r="M288" s="35"/>
      <c r="N288" s="35"/>
      <c r="O288" s="35"/>
      <c r="P288" s="35"/>
      <c r="Q288" s="35"/>
      <c r="R288" s="38"/>
      <c r="S288" s="35"/>
      <c r="T288" s="35"/>
      <c r="U288" s="35"/>
      <c r="V288" s="60" t="s">
        <v>1735</v>
      </c>
    </row>
    <row r="289" spans="1:22" ht="38.25" x14ac:dyDescent="0.2">
      <c r="A289" s="1" t="s">
        <v>130</v>
      </c>
      <c r="B289" s="2" t="s">
        <v>10</v>
      </c>
      <c r="C289" s="2" t="s">
        <v>131</v>
      </c>
      <c r="D289" s="2" t="s">
        <v>132</v>
      </c>
      <c r="E289" s="2">
        <v>2020</v>
      </c>
      <c r="F289" s="2" t="s">
        <v>203</v>
      </c>
      <c r="G289" s="2" t="s">
        <v>1667</v>
      </c>
      <c r="H289" s="2" t="s">
        <v>1669</v>
      </c>
      <c r="I289" s="1" t="s">
        <v>14</v>
      </c>
      <c r="J289" s="1" t="s">
        <v>673</v>
      </c>
      <c r="L289" s="34"/>
      <c r="M289" s="35"/>
      <c r="N289" s="35"/>
      <c r="O289" s="35"/>
      <c r="P289" s="35"/>
      <c r="Q289" s="35"/>
      <c r="R289" s="38"/>
      <c r="S289" s="35"/>
      <c r="T289" s="35"/>
      <c r="U289" s="35"/>
      <c r="V289" s="60" t="s">
        <v>1735</v>
      </c>
    </row>
    <row r="290" spans="1:22" ht="38.25" x14ac:dyDescent="0.2">
      <c r="A290" s="1" t="s">
        <v>130</v>
      </c>
      <c r="B290" s="2" t="s">
        <v>10</v>
      </c>
      <c r="C290" s="2" t="s">
        <v>131</v>
      </c>
      <c r="D290" s="2" t="s">
        <v>132</v>
      </c>
      <c r="E290" s="2">
        <v>2020</v>
      </c>
      <c r="F290" s="2" t="s">
        <v>211</v>
      </c>
      <c r="G290" s="2" t="s">
        <v>1667</v>
      </c>
      <c r="H290" s="2" t="s">
        <v>1669</v>
      </c>
      <c r="I290" s="1" t="s">
        <v>14</v>
      </c>
      <c r="J290" s="1" t="s">
        <v>699</v>
      </c>
      <c r="L290" s="34"/>
      <c r="M290" s="35"/>
      <c r="N290" s="35"/>
      <c r="O290" s="35"/>
      <c r="P290" s="35"/>
      <c r="Q290" s="35"/>
      <c r="R290" s="38"/>
      <c r="S290" s="35"/>
      <c r="T290" s="35"/>
      <c r="U290" s="35"/>
      <c r="V290" s="60" t="s">
        <v>1735</v>
      </c>
    </row>
    <row r="291" spans="1:22" ht="38.25" x14ac:dyDescent="0.2">
      <c r="A291" s="1" t="s">
        <v>130</v>
      </c>
      <c r="B291" s="2" t="s">
        <v>10</v>
      </c>
      <c r="C291" s="2" t="s">
        <v>131</v>
      </c>
      <c r="D291" s="2" t="s">
        <v>132</v>
      </c>
      <c r="E291" s="2">
        <v>2020</v>
      </c>
      <c r="F291" s="2" t="s">
        <v>221</v>
      </c>
      <c r="G291" s="2" t="s">
        <v>1667</v>
      </c>
      <c r="H291" s="2" t="s">
        <v>1669</v>
      </c>
      <c r="I291" s="1" t="s">
        <v>14</v>
      </c>
      <c r="J291" s="1" t="s">
        <v>861</v>
      </c>
      <c r="L291" s="34"/>
      <c r="M291" s="35"/>
      <c r="N291" s="35"/>
      <c r="O291" s="35"/>
      <c r="P291" s="35"/>
      <c r="Q291" s="35"/>
      <c r="R291" s="38"/>
      <c r="S291" s="14"/>
      <c r="T291" s="35"/>
      <c r="U291" s="35"/>
      <c r="V291" s="60" t="s">
        <v>1735</v>
      </c>
    </row>
    <row r="292" spans="1:22" ht="38.25" x14ac:dyDescent="0.2">
      <c r="A292" s="1" t="s">
        <v>130</v>
      </c>
      <c r="B292" s="2" t="s">
        <v>10</v>
      </c>
      <c r="C292" s="2" t="s">
        <v>131</v>
      </c>
      <c r="D292" s="2" t="s">
        <v>132</v>
      </c>
      <c r="E292" s="2">
        <v>2020</v>
      </c>
      <c r="F292" s="2" t="s">
        <v>256</v>
      </c>
      <c r="G292" s="2" t="s">
        <v>1667</v>
      </c>
      <c r="H292" s="2" t="s">
        <v>1669</v>
      </c>
      <c r="I292" s="1" t="s">
        <v>14</v>
      </c>
      <c r="J292" s="1" t="s">
        <v>943</v>
      </c>
      <c r="L292" s="34"/>
      <c r="M292" s="35"/>
      <c r="N292" s="35"/>
      <c r="O292" s="35"/>
      <c r="P292" s="35"/>
      <c r="Q292" s="35"/>
      <c r="R292" s="38"/>
      <c r="S292" s="14"/>
      <c r="T292" s="35"/>
      <c r="U292" s="35"/>
      <c r="V292" s="60" t="s">
        <v>1735</v>
      </c>
    </row>
    <row r="293" spans="1:22" ht="38.25" x14ac:dyDescent="0.2">
      <c r="A293" s="1" t="s">
        <v>130</v>
      </c>
      <c r="B293" s="2" t="s">
        <v>10</v>
      </c>
      <c r="C293" s="2" t="s">
        <v>131</v>
      </c>
      <c r="D293" s="2" t="s">
        <v>132</v>
      </c>
      <c r="E293" s="2">
        <v>2020</v>
      </c>
      <c r="F293" s="2" t="s">
        <v>276</v>
      </c>
      <c r="G293" s="2" t="s">
        <v>1667</v>
      </c>
      <c r="H293" s="2" t="s">
        <v>1669</v>
      </c>
      <c r="I293" s="1" t="s">
        <v>14</v>
      </c>
      <c r="J293" s="1" t="s">
        <v>1065</v>
      </c>
      <c r="L293" s="34"/>
      <c r="M293" s="35"/>
      <c r="N293" s="35"/>
      <c r="O293" s="35"/>
      <c r="P293" s="35"/>
      <c r="Q293" s="35"/>
      <c r="R293" s="38"/>
      <c r="S293" s="14"/>
      <c r="T293" s="35"/>
      <c r="U293" s="35"/>
      <c r="V293" s="60" t="s">
        <v>1735</v>
      </c>
    </row>
    <row r="294" spans="1:22" ht="38.25" x14ac:dyDescent="0.2">
      <c r="A294" s="1" t="s">
        <v>130</v>
      </c>
      <c r="B294" s="2" t="s">
        <v>10</v>
      </c>
      <c r="C294" s="2" t="s">
        <v>131</v>
      </c>
      <c r="D294" s="2" t="s">
        <v>132</v>
      </c>
      <c r="E294" s="2">
        <v>2020</v>
      </c>
      <c r="F294" s="2" t="s">
        <v>291</v>
      </c>
      <c r="G294" s="2" t="s">
        <v>1667</v>
      </c>
      <c r="H294" s="2" t="s">
        <v>1669</v>
      </c>
      <c r="I294" s="1" t="s">
        <v>14</v>
      </c>
      <c r="J294" s="1" t="s">
        <v>1092</v>
      </c>
      <c r="L294" s="34"/>
      <c r="M294" s="35"/>
      <c r="N294" s="35"/>
      <c r="O294" s="35"/>
      <c r="P294" s="35"/>
      <c r="Q294" s="35"/>
      <c r="R294" s="38"/>
      <c r="S294" s="14"/>
      <c r="T294" s="35"/>
      <c r="U294" s="35"/>
      <c r="V294" s="60" t="s">
        <v>1735</v>
      </c>
    </row>
    <row r="295" spans="1:22" ht="38.25" x14ac:dyDescent="0.2">
      <c r="A295" s="1" t="s">
        <v>130</v>
      </c>
      <c r="B295" s="2" t="s">
        <v>10</v>
      </c>
      <c r="C295" s="2" t="s">
        <v>131</v>
      </c>
      <c r="D295" s="2" t="s">
        <v>132</v>
      </c>
      <c r="E295" s="2">
        <v>2020</v>
      </c>
      <c r="F295" s="2" t="s">
        <v>311</v>
      </c>
      <c r="G295" s="2" t="s">
        <v>1667</v>
      </c>
      <c r="H295" s="2" t="s">
        <v>1669</v>
      </c>
      <c r="I295" s="1" t="s">
        <v>14</v>
      </c>
      <c r="J295" s="1" t="s">
        <v>1318</v>
      </c>
      <c r="L295" s="34"/>
      <c r="M295" s="35"/>
      <c r="N295" s="35"/>
      <c r="O295" s="35"/>
      <c r="P295" s="35"/>
      <c r="Q295" s="35"/>
      <c r="R295" s="38"/>
      <c r="S295" s="14"/>
      <c r="T295" s="35"/>
      <c r="U295" s="35"/>
      <c r="V295" s="60" t="s">
        <v>1735</v>
      </c>
    </row>
    <row r="296" spans="1:22" ht="38.25" x14ac:dyDescent="0.2">
      <c r="A296" s="1" t="s">
        <v>130</v>
      </c>
      <c r="B296" s="2" t="s">
        <v>10</v>
      </c>
      <c r="C296" s="2" t="s">
        <v>131</v>
      </c>
      <c r="D296" s="2" t="s">
        <v>132</v>
      </c>
      <c r="E296" s="2">
        <v>2020</v>
      </c>
      <c r="F296" s="2" t="s">
        <v>337</v>
      </c>
      <c r="G296" s="2" t="s">
        <v>1667</v>
      </c>
      <c r="H296" s="2" t="s">
        <v>1669</v>
      </c>
      <c r="I296" s="1" t="s">
        <v>14</v>
      </c>
      <c r="J296" s="1" t="s">
        <v>1398</v>
      </c>
      <c r="L296" s="34"/>
      <c r="M296" s="35"/>
      <c r="N296" s="35"/>
      <c r="O296" s="35"/>
      <c r="P296" s="35"/>
      <c r="Q296" s="35"/>
      <c r="R296" s="38"/>
      <c r="S296" s="14"/>
      <c r="T296" s="35"/>
      <c r="U296" s="35"/>
      <c r="V296" s="60" t="s">
        <v>1735</v>
      </c>
    </row>
    <row r="297" spans="1:22" ht="38.25" x14ac:dyDescent="0.2">
      <c r="A297" s="1" t="s">
        <v>130</v>
      </c>
      <c r="B297" s="2" t="s">
        <v>10</v>
      </c>
      <c r="C297" s="2" t="s">
        <v>131</v>
      </c>
      <c r="D297" s="2" t="s">
        <v>132</v>
      </c>
      <c r="E297" s="2">
        <v>2020</v>
      </c>
      <c r="F297" s="2" t="s">
        <v>364</v>
      </c>
      <c r="G297" s="2" t="s">
        <v>1667</v>
      </c>
      <c r="H297" s="2" t="s">
        <v>1669</v>
      </c>
      <c r="I297" s="1" t="s">
        <v>14</v>
      </c>
      <c r="J297" s="1" t="s">
        <v>439</v>
      </c>
      <c r="L297" s="34"/>
      <c r="M297" s="35"/>
      <c r="N297" s="35"/>
      <c r="O297" s="35"/>
      <c r="P297" s="35"/>
      <c r="Q297" s="35"/>
      <c r="R297" s="38"/>
      <c r="S297" s="14"/>
      <c r="T297" s="35"/>
      <c r="U297" s="35"/>
      <c r="V297" s="60" t="s">
        <v>1735</v>
      </c>
    </row>
    <row r="298" spans="1:22" ht="38.25" x14ac:dyDescent="0.2">
      <c r="A298" s="1" t="s">
        <v>130</v>
      </c>
      <c r="B298" s="2" t="s">
        <v>10</v>
      </c>
      <c r="C298" s="2" t="s">
        <v>131</v>
      </c>
      <c r="D298" s="2" t="s">
        <v>132</v>
      </c>
      <c r="E298" s="2">
        <v>2020</v>
      </c>
      <c r="F298" s="2" t="s">
        <v>388</v>
      </c>
      <c r="G298" s="2" t="s">
        <v>1667</v>
      </c>
      <c r="H298" s="2" t="s">
        <v>1669</v>
      </c>
      <c r="I298" s="1" t="s">
        <v>14</v>
      </c>
      <c r="J298" s="1" t="s">
        <v>1654</v>
      </c>
      <c r="L298" s="34"/>
      <c r="M298" s="35"/>
      <c r="N298" s="35"/>
      <c r="O298" s="35"/>
      <c r="P298" s="35"/>
      <c r="Q298" s="35"/>
      <c r="R298" s="35"/>
      <c r="S298" s="35"/>
      <c r="T298" s="35"/>
      <c r="U298" s="35"/>
      <c r="V298" s="60" t="s">
        <v>1735</v>
      </c>
    </row>
    <row r="299" spans="1:22" ht="76.5" x14ac:dyDescent="0.2">
      <c r="A299" s="1" t="s">
        <v>321</v>
      </c>
      <c r="B299" s="2" t="s">
        <v>198</v>
      </c>
      <c r="C299" s="2" t="s">
        <v>322</v>
      </c>
      <c r="D299" s="2" t="s">
        <v>323</v>
      </c>
      <c r="E299" s="2">
        <v>2020</v>
      </c>
      <c r="F299" s="2" t="s">
        <v>311</v>
      </c>
      <c r="G299" s="2" t="s">
        <v>1669</v>
      </c>
      <c r="H299" s="2" t="s">
        <v>1668</v>
      </c>
      <c r="I299" s="1" t="s">
        <v>1233</v>
      </c>
      <c r="J299" s="1" t="s">
        <v>14</v>
      </c>
      <c r="L299" s="5"/>
      <c r="M299" s="35"/>
      <c r="N299" s="35"/>
      <c r="O299" s="35"/>
      <c r="P299" s="35"/>
      <c r="Q299" s="35"/>
      <c r="R299" s="6"/>
      <c r="S299" s="6"/>
      <c r="T299" s="35"/>
      <c r="U299" s="35"/>
      <c r="V299" s="60" t="s">
        <v>1693</v>
      </c>
    </row>
    <row r="300" spans="1:22" ht="38.25" x14ac:dyDescent="0.2">
      <c r="A300" s="1" t="s">
        <v>740</v>
      </c>
      <c r="B300" s="2" t="s">
        <v>69</v>
      </c>
      <c r="C300" s="2" t="s">
        <v>82</v>
      </c>
      <c r="D300" s="2" t="s">
        <v>58</v>
      </c>
      <c r="E300" s="2">
        <v>2020</v>
      </c>
      <c r="F300" s="2" t="s">
        <v>211</v>
      </c>
      <c r="G300" s="2" t="s">
        <v>1669</v>
      </c>
      <c r="H300" s="2" t="s">
        <v>1669</v>
      </c>
      <c r="I300" s="1" t="s">
        <v>741</v>
      </c>
      <c r="J300" s="1" t="s">
        <v>742</v>
      </c>
      <c r="L300" s="5"/>
      <c r="M300" s="35"/>
      <c r="N300" s="35"/>
      <c r="O300" s="35"/>
      <c r="P300" s="35"/>
      <c r="Q300" s="35"/>
      <c r="R300" s="6"/>
      <c r="S300" s="35"/>
      <c r="T300" s="35"/>
      <c r="U300" s="35"/>
      <c r="V300" s="60" t="s">
        <v>1696</v>
      </c>
    </row>
    <row r="301" spans="1:22" ht="38.25" x14ac:dyDescent="0.2">
      <c r="A301" s="1" t="s">
        <v>326</v>
      </c>
      <c r="B301" s="2" t="s">
        <v>32</v>
      </c>
      <c r="C301" s="2" t="s">
        <v>327</v>
      </c>
      <c r="D301" s="2" t="s">
        <v>108</v>
      </c>
      <c r="E301" s="2">
        <v>2020</v>
      </c>
      <c r="F301" s="2" t="s">
        <v>337</v>
      </c>
      <c r="G301" s="2" t="s">
        <v>1669</v>
      </c>
      <c r="H301" s="2" t="s">
        <v>1668</v>
      </c>
      <c r="I301" s="1" t="s">
        <v>1392</v>
      </c>
      <c r="J301" s="1" t="s">
        <v>14</v>
      </c>
      <c r="L301" s="5"/>
      <c r="M301" s="35"/>
      <c r="N301" s="35"/>
      <c r="O301" s="35"/>
      <c r="P301" s="35"/>
      <c r="Q301" s="35"/>
      <c r="R301" s="6"/>
      <c r="S301" s="6"/>
      <c r="T301" s="35"/>
      <c r="U301" s="35"/>
      <c r="V301" s="60" t="s">
        <v>1683</v>
      </c>
    </row>
    <row r="302" spans="1:22" ht="51" x14ac:dyDescent="0.2">
      <c r="A302" s="1" t="s">
        <v>89</v>
      </c>
      <c r="B302" s="2" t="s">
        <v>16</v>
      </c>
      <c r="C302" s="2" t="s">
        <v>90</v>
      </c>
      <c r="D302" s="2" t="s">
        <v>91</v>
      </c>
      <c r="E302" s="2">
        <v>2020</v>
      </c>
      <c r="F302" s="2" t="s">
        <v>13</v>
      </c>
      <c r="G302" s="2" t="s">
        <v>1667</v>
      </c>
      <c r="H302" s="2" t="s">
        <v>1669</v>
      </c>
      <c r="I302" s="1" t="s">
        <v>14</v>
      </c>
      <c r="J302" s="1" t="s">
        <v>517</v>
      </c>
      <c r="L302" s="5">
        <v>0.3367</v>
      </c>
      <c r="M302" s="35"/>
      <c r="N302" s="35"/>
      <c r="O302" s="35"/>
      <c r="P302" s="35"/>
      <c r="Q302" s="35"/>
      <c r="R302" s="35">
        <v>63.81</v>
      </c>
      <c r="S302" s="35"/>
      <c r="T302" s="35"/>
      <c r="U302" s="35"/>
    </row>
    <row r="303" spans="1:22" ht="51" x14ac:dyDescent="0.2">
      <c r="A303" s="1" t="s">
        <v>89</v>
      </c>
      <c r="B303" s="2" t="s">
        <v>16</v>
      </c>
      <c r="C303" s="2" t="s">
        <v>90</v>
      </c>
      <c r="D303" s="2" t="s">
        <v>91</v>
      </c>
      <c r="E303" s="2">
        <v>2020</v>
      </c>
      <c r="F303" s="2" t="s">
        <v>188</v>
      </c>
      <c r="G303" s="2" t="s">
        <v>1667</v>
      </c>
      <c r="H303" s="2" t="s">
        <v>1669</v>
      </c>
      <c r="I303" s="1" t="s">
        <v>14</v>
      </c>
      <c r="J303" s="1" t="s">
        <v>564</v>
      </c>
      <c r="L303" s="34">
        <v>0.37630000000000002</v>
      </c>
      <c r="M303" s="35"/>
      <c r="N303" s="35"/>
      <c r="O303" s="35"/>
      <c r="P303" s="35"/>
      <c r="Q303" s="35"/>
      <c r="R303" s="35">
        <v>50.71</v>
      </c>
      <c r="S303" s="35"/>
      <c r="T303" s="35"/>
      <c r="U303" s="35"/>
    </row>
    <row r="304" spans="1:22" ht="51" x14ac:dyDescent="0.2">
      <c r="A304" s="1" t="s">
        <v>89</v>
      </c>
      <c r="B304" s="2" t="s">
        <v>16</v>
      </c>
      <c r="C304" s="2" t="s">
        <v>90</v>
      </c>
      <c r="D304" s="2" t="s">
        <v>91</v>
      </c>
      <c r="E304" s="2">
        <v>2020</v>
      </c>
      <c r="F304" s="2" t="s">
        <v>203</v>
      </c>
      <c r="G304" s="2" t="s">
        <v>1667</v>
      </c>
      <c r="H304" s="2" t="s">
        <v>1669</v>
      </c>
      <c r="I304" s="1" t="s">
        <v>14</v>
      </c>
      <c r="J304" s="1" t="s">
        <v>641</v>
      </c>
      <c r="L304" s="34">
        <v>0.37180000000000002</v>
      </c>
      <c r="M304" s="35"/>
      <c r="N304" s="35"/>
      <c r="O304" s="35"/>
      <c r="P304" s="35"/>
      <c r="Q304" s="35"/>
      <c r="R304" s="39">
        <v>72.08</v>
      </c>
      <c r="S304" s="35"/>
      <c r="T304" s="35"/>
      <c r="U304" s="35"/>
    </row>
    <row r="305" spans="1:22" ht="38.25" x14ac:dyDescent="0.2">
      <c r="A305" s="1" t="s">
        <v>89</v>
      </c>
      <c r="B305" s="2" t="s">
        <v>16</v>
      </c>
      <c r="C305" s="2" t="s">
        <v>90</v>
      </c>
      <c r="D305" s="2" t="s">
        <v>91</v>
      </c>
      <c r="E305" s="2">
        <v>2020</v>
      </c>
      <c r="F305" s="2" t="s">
        <v>211</v>
      </c>
      <c r="G305" s="2" t="s">
        <v>1667</v>
      </c>
      <c r="H305" s="2" t="s">
        <v>1669</v>
      </c>
      <c r="I305" s="1" t="s">
        <v>14</v>
      </c>
      <c r="J305" s="1" t="s">
        <v>722</v>
      </c>
      <c r="L305" s="34">
        <v>0.38</v>
      </c>
      <c r="M305" s="35"/>
      <c r="N305" s="35"/>
      <c r="O305" s="35"/>
      <c r="P305" s="35"/>
      <c r="Q305" s="35"/>
      <c r="R305" s="39">
        <v>49.49</v>
      </c>
      <c r="S305" s="35"/>
      <c r="T305" s="35"/>
      <c r="U305" s="35"/>
    </row>
    <row r="306" spans="1:22" ht="38.25" x14ac:dyDescent="0.2">
      <c r="A306" s="1" t="s">
        <v>89</v>
      </c>
      <c r="B306" s="2" t="s">
        <v>16</v>
      </c>
      <c r="C306" s="2" t="s">
        <v>90</v>
      </c>
      <c r="D306" s="2" t="s">
        <v>91</v>
      </c>
      <c r="E306" s="2">
        <v>2020</v>
      </c>
      <c r="F306" s="2" t="s">
        <v>221</v>
      </c>
      <c r="G306" s="2" t="s">
        <v>1667</v>
      </c>
      <c r="H306" s="2" t="s">
        <v>1669</v>
      </c>
      <c r="I306" s="1" t="s">
        <v>14</v>
      </c>
      <c r="J306" s="1" t="s">
        <v>780</v>
      </c>
      <c r="L306" s="34">
        <v>0.39329999999999998</v>
      </c>
      <c r="M306" s="35"/>
      <c r="N306" s="35"/>
      <c r="O306" s="35"/>
      <c r="P306" s="35"/>
      <c r="Q306" s="35"/>
      <c r="R306" s="39">
        <v>34.299999999999997</v>
      </c>
      <c r="S306" s="35"/>
      <c r="T306" s="35"/>
      <c r="U306" s="35"/>
    </row>
    <row r="307" spans="1:22" ht="38.25" x14ac:dyDescent="0.2">
      <c r="A307" s="1" t="s">
        <v>89</v>
      </c>
      <c r="B307" s="2" t="s">
        <v>16</v>
      </c>
      <c r="C307" s="2" t="s">
        <v>90</v>
      </c>
      <c r="D307" s="2" t="s">
        <v>91</v>
      </c>
      <c r="E307" s="2">
        <v>2020</v>
      </c>
      <c r="F307" s="2" t="s">
        <v>256</v>
      </c>
      <c r="G307" s="2" t="s">
        <v>1667</v>
      </c>
      <c r="H307" s="2" t="s">
        <v>1669</v>
      </c>
      <c r="I307" s="1" t="s">
        <v>14</v>
      </c>
      <c r="J307" s="1" t="s">
        <v>901</v>
      </c>
      <c r="L307" s="34">
        <v>0.37330000000000002</v>
      </c>
      <c r="M307" s="35"/>
      <c r="N307" s="35"/>
      <c r="O307" s="35"/>
      <c r="P307" s="35"/>
      <c r="Q307" s="35"/>
      <c r="R307" s="39">
        <v>51.68</v>
      </c>
      <c r="S307" s="14"/>
      <c r="T307" s="35"/>
      <c r="U307" s="35"/>
    </row>
    <row r="308" spans="1:22" ht="51" x14ac:dyDescent="0.2">
      <c r="A308" s="1" t="s">
        <v>89</v>
      </c>
      <c r="B308" s="2" t="s">
        <v>16</v>
      </c>
      <c r="C308" s="2" t="s">
        <v>90</v>
      </c>
      <c r="D308" s="2" t="s">
        <v>91</v>
      </c>
      <c r="E308" s="2">
        <v>2020</v>
      </c>
      <c r="F308" s="2" t="s">
        <v>276</v>
      </c>
      <c r="G308" s="2" t="s">
        <v>1667</v>
      </c>
      <c r="H308" s="2" t="s">
        <v>1669</v>
      </c>
      <c r="I308" s="1" t="s">
        <v>14</v>
      </c>
      <c r="J308" s="1" t="s">
        <v>985</v>
      </c>
      <c r="L308" s="34">
        <v>0.3977</v>
      </c>
      <c r="M308" s="35"/>
      <c r="N308" s="35"/>
      <c r="O308" s="35"/>
      <c r="P308" s="35"/>
      <c r="Q308" s="35"/>
      <c r="R308" s="39">
        <v>59.05</v>
      </c>
      <c r="S308" s="14"/>
      <c r="T308" s="35"/>
      <c r="U308" s="35"/>
    </row>
    <row r="309" spans="1:22" ht="38.25" x14ac:dyDescent="0.2">
      <c r="A309" s="1" t="s">
        <v>89</v>
      </c>
      <c r="B309" s="2" t="s">
        <v>16</v>
      </c>
      <c r="C309" s="2" t="s">
        <v>90</v>
      </c>
      <c r="D309" s="2" t="s">
        <v>91</v>
      </c>
      <c r="E309" s="2">
        <v>2020</v>
      </c>
      <c r="F309" s="2" t="s">
        <v>291</v>
      </c>
      <c r="G309" s="2" t="s">
        <v>1667</v>
      </c>
      <c r="H309" s="2" t="s">
        <v>1669</v>
      </c>
      <c r="I309" s="1" t="s">
        <v>14</v>
      </c>
      <c r="J309" s="1" t="s">
        <v>1118</v>
      </c>
      <c r="L309" s="34">
        <v>0.38600000000000001</v>
      </c>
      <c r="M309" s="35"/>
      <c r="N309" s="35"/>
      <c r="O309" s="35"/>
      <c r="P309" s="35"/>
      <c r="Q309" s="35"/>
      <c r="R309" s="39">
        <v>64.3</v>
      </c>
      <c r="S309" s="14"/>
      <c r="T309" s="35"/>
      <c r="U309" s="35"/>
    </row>
    <row r="310" spans="1:22" ht="51" x14ac:dyDescent="0.2">
      <c r="A310" s="1" t="s">
        <v>89</v>
      </c>
      <c r="B310" s="2" t="s">
        <v>16</v>
      </c>
      <c r="C310" s="2" t="s">
        <v>90</v>
      </c>
      <c r="D310" s="2" t="s">
        <v>91</v>
      </c>
      <c r="E310" s="2">
        <v>2020</v>
      </c>
      <c r="F310" s="2" t="s">
        <v>311</v>
      </c>
      <c r="G310" s="2" t="s">
        <v>1667</v>
      </c>
      <c r="H310" s="2" t="s">
        <v>1669</v>
      </c>
      <c r="I310" s="1" t="s">
        <v>14</v>
      </c>
      <c r="J310" s="1" t="s">
        <v>1268</v>
      </c>
      <c r="L310" s="34">
        <v>0.32329999999999998</v>
      </c>
      <c r="M310" s="35"/>
      <c r="N310" s="35"/>
      <c r="O310" s="35"/>
      <c r="P310" s="35"/>
      <c r="Q310" s="35"/>
      <c r="R310" s="39">
        <v>51.68</v>
      </c>
      <c r="S310" s="14"/>
      <c r="T310" s="35"/>
      <c r="U310" s="35"/>
    </row>
    <row r="311" spans="1:22" ht="38.25" x14ac:dyDescent="0.2">
      <c r="A311" s="1" t="s">
        <v>89</v>
      </c>
      <c r="B311" s="2" t="s">
        <v>16</v>
      </c>
      <c r="C311" s="2" t="s">
        <v>90</v>
      </c>
      <c r="D311" s="2" t="s">
        <v>91</v>
      </c>
      <c r="E311" s="2">
        <v>2020</v>
      </c>
      <c r="F311" s="2" t="s">
        <v>337</v>
      </c>
      <c r="G311" s="2" t="s">
        <v>1667</v>
      </c>
      <c r="H311" s="2" t="s">
        <v>1669</v>
      </c>
      <c r="I311" s="1" t="s">
        <v>14</v>
      </c>
      <c r="J311" s="1" t="s">
        <v>1366</v>
      </c>
      <c r="L311" s="34">
        <v>0.318</v>
      </c>
      <c r="M311" s="35"/>
      <c r="N311" s="35"/>
      <c r="O311" s="35"/>
      <c r="P311" s="35"/>
      <c r="Q311" s="35"/>
      <c r="R311" s="39">
        <v>29.56</v>
      </c>
      <c r="S311" s="14"/>
      <c r="T311" s="35"/>
      <c r="U311" s="35"/>
    </row>
    <row r="312" spans="1:22" ht="38.25" x14ac:dyDescent="0.2">
      <c r="A312" s="1" t="s">
        <v>89</v>
      </c>
      <c r="B312" s="2" t="s">
        <v>16</v>
      </c>
      <c r="C312" s="2" t="s">
        <v>90</v>
      </c>
      <c r="D312" s="2" t="s">
        <v>91</v>
      </c>
      <c r="E312" s="2">
        <v>2020</v>
      </c>
      <c r="F312" s="2" t="s">
        <v>364</v>
      </c>
      <c r="G312" s="2" t="s">
        <v>1667</v>
      </c>
      <c r="H312" s="2" t="s">
        <v>1669</v>
      </c>
      <c r="I312" s="1" t="s">
        <v>14</v>
      </c>
      <c r="J312" s="1" t="s">
        <v>1544</v>
      </c>
      <c r="L312" s="34">
        <v>0.21</v>
      </c>
      <c r="M312" s="35"/>
      <c r="N312" s="35"/>
      <c r="O312" s="35"/>
      <c r="P312" s="35"/>
      <c r="Q312" s="35"/>
      <c r="R312" s="39">
        <v>11.07</v>
      </c>
      <c r="S312" s="14"/>
      <c r="T312" s="35"/>
      <c r="U312" s="35"/>
    </row>
    <row r="313" spans="1:22" ht="38.25" x14ac:dyDescent="0.2">
      <c r="A313" s="1" t="s">
        <v>89</v>
      </c>
      <c r="B313" s="2" t="s">
        <v>16</v>
      </c>
      <c r="C313" s="2" t="s">
        <v>90</v>
      </c>
      <c r="D313" s="2" t="s">
        <v>91</v>
      </c>
      <c r="E313" s="2">
        <v>2020</v>
      </c>
      <c r="F313" s="2" t="s">
        <v>388</v>
      </c>
      <c r="G313" s="2" t="s">
        <v>1667</v>
      </c>
      <c r="H313" s="2" t="s">
        <v>1669</v>
      </c>
      <c r="I313" s="1" t="s">
        <v>14</v>
      </c>
      <c r="J313" s="1" t="s">
        <v>1612</v>
      </c>
      <c r="L313" s="34">
        <v>0.23860000000000001</v>
      </c>
      <c r="M313" s="35"/>
      <c r="N313" s="35"/>
      <c r="O313" s="35"/>
      <c r="P313" s="35"/>
      <c r="Q313" s="35"/>
      <c r="R313" s="35">
        <v>42.61</v>
      </c>
      <c r="S313" s="35"/>
      <c r="T313" s="35"/>
      <c r="U313" s="35"/>
    </row>
    <row r="314" spans="1:22" ht="25.5" x14ac:dyDescent="0.2">
      <c r="A314" s="1" t="s">
        <v>317</v>
      </c>
      <c r="B314" s="2" t="s">
        <v>318</v>
      </c>
      <c r="C314" s="2" t="s">
        <v>90</v>
      </c>
      <c r="D314" s="2" t="s">
        <v>91</v>
      </c>
      <c r="E314" s="2">
        <v>2020</v>
      </c>
      <c r="F314" s="2" t="s">
        <v>337</v>
      </c>
      <c r="G314" s="2" t="s">
        <v>1669</v>
      </c>
      <c r="H314" s="2" t="s">
        <v>1669</v>
      </c>
      <c r="I314" s="1" t="s">
        <v>438</v>
      </c>
      <c r="J314" s="1" t="s">
        <v>1367</v>
      </c>
      <c r="L314" s="34" t="s">
        <v>1670</v>
      </c>
      <c r="M314" s="35"/>
      <c r="N314" s="35"/>
      <c r="O314" s="35"/>
      <c r="P314" s="35"/>
      <c r="Q314" s="35"/>
      <c r="R314" s="14"/>
      <c r="S314" s="14"/>
      <c r="T314" s="35"/>
      <c r="U314" s="35"/>
      <c r="V314" s="60" t="s">
        <v>1683</v>
      </c>
    </row>
    <row r="315" spans="1:22" ht="114.75" x14ac:dyDescent="0.2">
      <c r="A315" s="1" t="s">
        <v>1327</v>
      </c>
      <c r="B315" s="2" t="s">
        <v>196</v>
      </c>
      <c r="C315" s="2" t="s">
        <v>1328</v>
      </c>
      <c r="D315" s="2" t="s">
        <v>355</v>
      </c>
      <c r="E315" s="2">
        <v>2020</v>
      </c>
      <c r="F315" s="2" t="s">
        <v>311</v>
      </c>
      <c r="G315" s="2" t="s">
        <v>1669</v>
      </c>
      <c r="H315" s="2" t="s">
        <v>1669</v>
      </c>
      <c r="I315" s="1" t="s">
        <v>1698</v>
      </c>
      <c r="J315" s="1" t="s">
        <v>1329</v>
      </c>
      <c r="L315" s="5" t="s">
        <v>1670</v>
      </c>
      <c r="M315" s="35"/>
      <c r="N315" s="35">
        <v>3300</v>
      </c>
      <c r="O315" s="35"/>
      <c r="P315" s="35"/>
      <c r="Q315" s="35"/>
      <c r="R315" s="6"/>
      <c r="S315" s="6"/>
      <c r="T315" s="35"/>
      <c r="U315" s="35"/>
      <c r="V315" s="60" t="s">
        <v>1699</v>
      </c>
    </row>
    <row r="316" spans="1:22" ht="25.5" x14ac:dyDescent="0.2">
      <c r="A316" s="1" t="s">
        <v>142</v>
      </c>
      <c r="B316" s="2" t="s">
        <v>53</v>
      </c>
      <c r="C316" s="2" t="s">
        <v>143</v>
      </c>
      <c r="D316" s="2" t="s">
        <v>71</v>
      </c>
      <c r="E316" s="2">
        <v>2020</v>
      </c>
      <c r="F316" s="2" t="s">
        <v>13</v>
      </c>
      <c r="G316" s="2" t="s">
        <v>1667</v>
      </c>
      <c r="H316" s="2" t="s">
        <v>1669</v>
      </c>
      <c r="I316" s="1" t="s">
        <v>14</v>
      </c>
      <c r="J316" s="1" t="s">
        <v>505</v>
      </c>
      <c r="L316" s="5">
        <v>0.155</v>
      </c>
      <c r="M316" s="35">
        <v>92.58</v>
      </c>
      <c r="N316" s="35"/>
      <c r="O316" s="35"/>
      <c r="P316" s="35"/>
      <c r="Q316" s="35"/>
      <c r="R316" s="35"/>
      <c r="S316" s="35"/>
      <c r="T316" s="35"/>
      <c r="U316" s="35"/>
    </row>
    <row r="317" spans="1:22" ht="25.5" x14ac:dyDescent="0.2">
      <c r="A317" s="1" t="s">
        <v>142</v>
      </c>
      <c r="B317" s="2" t="s">
        <v>53</v>
      </c>
      <c r="C317" s="2" t="s">
        <v>143</v>
      </c>
      <c r="D317" s="2" t="s">
        <v>71</v>
      </c>
      <c r="E317" s="2">
        <v>2020</v>
      </c>
      <c r="F317" s="2" t="s">
        <v>188</v>
      </c>
      <c r="G317" s="2" t="s">
        <v>1667</v>
      </c>
      <c r="H317" s="2" t="s">
        <v>1669</v>
      </c>
      <c r="I317" s="1" t="s">
        <v>14</v>
      </c>
      <c r="J317" s="1" t="s">
        <v>566</v>
      </c>
      <c r="L317" s="34">
        <v>0.16</v>
      </c>
      <c r="M317" s="35">
        <v>77.25</v>
      </c>
      <c r="N317" s="35"/>
      <c r="O317" s="35"/>
      <c r="P317" s="35"/>
      <c r="Q317" s="35"/>
      <c r="R317" s="35"/>
      <c r="S317" s="35"/>
      <c r="T317" s="35"/>
      <c r="U317" s="35"/>
    </row>
    <row r="318" spans="1:22" ht="25.5" x14ac:dyDescent="0.2">
      <c r="A318" s="1" t="s">
        <v>142</v>
      </c>
      <c r="B318" s="2" t="s">
        <v>53</v>
      </c>
      <c r="C318" s="2" t="s">
        <v>143</v>
      </c>
      <c r="D318" s="2" t="s">
        <v>71</v>
      </c>
      <c r="E318" s="2">
        <v>2020</v>
      </c>
      <c r="F318" s="2" t="s">
        <v>203</v>
      </c>
      <c r="G318" s="2" t="s">
        <v>1667</v>
      </c>
      <c r="H318" s="2" t="s">
        <v>1669</v>
      </c>
      <c r="I318" s="1" t="s">
        <v>14</v>
      </c>
      <c r="J318" s="1" t="s">
        <v>644</v>
      </c>
      <c r="L318" s="34">
        <v>0.16600000000000001</v>
      </c>
      <c r="M318" s="35">
        <v>82.14</v>
      </c>
      <c r="N318" s="35"/>
      <c r="O318" s="35"/>
      <c r="P318" s="35"/>
      <c r="Q318" s="35"/>
      <c r="R318" s="14"/>
      <c r="S318" s="35"/>
      <c r="T318" s="35"/>
      <c r="U318" s="35"/>
    </row>
    <row r="319" spans="1:22" ht="38.25" x14ac:dyDescent="0.2">
      <c r="A319" s="1" t="s">
        <v>142</v>
      </c>
      <c r="B319" s="2" t="s">
        <v>53</v>
      </c>
      <c r="C319" s="2" t="s">
        <v>143</v>
      </c>
      <c r="D319" s="2" t="s">
        <v>71</v>
      </c>
      <c r="E319" s="2">
        <v>2020</v>
      </c>
      <c r="F319" s="2" t="s">
        <v>211</v>
      </c>
      <c r="G319" s="2" t="s">
        <v>1667</v>
      </c>
      <c r="H319" s="2" t="s">
        <v>1669</v>
      </c>
      <c r="I319" s="1" t="s">
        <v>14</v>
      </c>
      <c r="J319" s="1" t="s">
        <v>713</v>
      </c>
      <c r="L319" s="34">
        <v>0.16800000000000001</v>
      </c>
      <c r="M319" s="35">
        <v>65.319999999999993</v>
      </c>
      <c r="N319" s="35">
        <v>23.45</v>
      </c>
      <c r="O319" s="35"/>
      <c r="P319" s="35"/>
      <c r="Q319" s="35"/>
      <c r="R319" s="14"/>
      <c r="S319" s="35"/>
      <c r="T319" s="35"/>
      <c r="U319" s="35"/>
    </row>
    <row r="320" spans="1:22" ht="25.5" x14ac:dyDescent="0.2">
      <c r="A320" s="1" t="s">
        <v>142</v>
      </c>
      <c r="B320" s="2" t="s">
        <v>53</v>
      </c>
      <c r="C320" s="2" t="s">
        <v>143</v>
      </c>
      <c r="D320" s="2" t="s">
        <v>71</v>
      </c>
      <c r="E320" s="2">
        <v>2020</v>
      </c>
      <c r="F320" s="2" t="s">
        <v>221</v>
      </c>
      <c r="G320" s="2" t="s">
        <v>1667</v>
      </c>
      <c r="H320" s="2" t="s">
        <v>1669</v>
      </c>
      <c r="I320" s="1" t="s">
        <v>14</v>
      </c>
      <c r="J320" s="1" t="s">
        <v>784</v>
      </c>
      <c r="L320" s="34">
        <v>0.16300000000000001</v>
      </c>
      <c r="M320" s="35"/>
      <c r="N320" s="35">
        <v>66.64</v>
      </c>
      <c r="O320" s="35"/>
      <c r="P320" s="35"/>
      <c r="Q320" s="35"/>
      <c r="R320" s="14"/>
      <c r="S320" s="35"/>
      <c r="T320" s="35"/>
      <c r="U320" s="35"/>
    </row>
    <row r="321" spans="1:22" ht="25.5" x14ac:dyDescent="0.2">
      <c r="A321" s="1" t="s">
        <v>142</v>
      </c>
      <c r="B321" s="2" t="s">
        <v>53</v>
      </c>
      <c r="C321" s="2" t="s">
        <v>143</v>
      </c>
      <c r="D321" s="2" t="s">
        <v>71</v>
      </c>
      <c r="E321" s="2">
        <v>2020</v>
      </c>
      <c r="F321" s="2" t="s">
        <v>256</v>
      </c>
      <c r="G321" s="2" t="s">
        <v>1667</v>
      </c>
      <c r="H321" s="2" t="s">
        <v>1669</v>
      </c>
      <c r="I321" s="1" t="s">
        <v>14</v>
      </c>
      <c r="J321" s="1" t="s">
        <v>934</v>
      </c>
      <c r="L321" s="34">
        <v>0.183</v>
      </c>
      <c r="M321" s="35"/>
      <c r="N321" s="35">
        <v>77.3</v>
      </c>
      <c r="O321" s="35"/>
      <c r="P321" s="35"/>
      <c r="Q321" s="35"/>
      <c r="R321" s="14"/>
      <c r="S321" s="14"/>
      <c r="T321" s="35"/>
      <c r="U321" s="35"/>
    </row>
    <row r="322" spans="1:22" ht="25.5" x14ac:dyDescent="0.2">
      <c r="A322" s="1" t="s">
        <v>142</v>
      </c>
      <c r="B322" s="2" t="s">
        <v>53</v>
      </c>
      <c r="C322" s="2" t="s">
        <v>143</v>
      </c>
      <c r="D322" s="2" t="s">
        <v>71</v>
      </c>
      <c r="E322" s="2">
        <v>2020</v>
      </c>
      <c r="F322" s="2" t="s">
        <v>276</v>
      </c>
      <c r="G322" s="2" t="s">
        <v>1667</v>
      </c>
      <c r="H322" s="2" t="s">
        <v>1669</v>
      </c>
      <c r="I322" s="1" t="s">
        <v>14</v>
      </c>
      <c r="J322" s="1" t="s">
        <v>1045</v>
      </c>
      <c r="L322" s="34">
        <v>0.17699999999999999</v>
      </c>
      <c r="M322" s="35">
        <v>93.31</v>
      </c>
      <c r="N322" s="35"/>
      <c r="O322" s="35"/>
      <c r="P322" s="35"/>
      <c r="Q322" s="35"/>
      <c r="R322" s="14"/>
      <c r="S322" s="14"/>
      <c r="T322" s="35"/>
      <c r="U322" s="35"/>
    </row>
    <row r="323" spans="1:22" ht="25.5" x14ac:dyDescent="0.2">
      <c r="A323" s="1" t="s">
        <v>142</v>
      </c>
      <c r="B323" s="2" t="s">
        <v>53</v>
      </c>
      <c r="C323" s="2" t="s">
        <v>143</v>
      </c>
      <c r="D323" s="2" t="s">
        <v>71</v>
      </c>
      <c r="E323" s="2">
        <v>2020</v>
      </c>
      <c r="F323" s="2" t="s">
        <v>291</v>
      </c>
      <c r="G323" s="2" t="s">
        <v>1667</v>
      </c>
      <c r="H323" s="2" t="s">
        <v>1669</v>
      </c>
      <c r="I323" s="1" t="s">
        <v>14</v>
      </c>
      <c r="J323" s="1" t="s">
        <v>1116</v>
      </c>
      <c r="L323" s="34">
        <v>0.16700000000000001</v>
      </c>
      <c r="M323" s="35">
        <v>75.95</v>
      </c>
      <c r="N323" s="35"/>
      <c r="O323" s="35"/>
      <c r="P323" s="35"/>
      <c r="Q323" s="35"/>
      <c r="R323" s="14"/>
      <c r="S323" s="14"/>
      <c r="T323" s="35"/>
      <c r="U323" s="35"/>
    </row>
    <row r="324" spans="1:22" ht="25.5" x14ac:dyDescent="0.2">
      <c r="A324" s="1" t="s">
        <v>142</v>
      </c>
      <c r="B324" s="2" t="s">
        <v>53</v>
      </c>
      <c r="C324" s="2" t="s">
        <v>143</v>
      </c>
      <c r="D324" s="2" t="s">
        <v>71</v>
      </c>
      <c r="E324" s="2">
        <v>2020</v>
      </c>
      <c r="F324" s="2" t="s">
        <v>311</v>
      </c>
      <c r="G324" s="2" t="s">
        <v>1667</v>
      </c>
      <c r="H324" s="2" t="s">
        <v>1669</v>
      </c>
      <c r="I324" s="1" t="s">
        <v>14</v>
      </c>
      <c r="J324" s="1" t="s">
        <v>1278</v>
      </c>
      <c r="L324" s="34">
        <v>0.17100000000000001</v>
      </c>
      <c r="M324" s="35">
        <v>97.31</v>
      </c>
      <c r="N324" s="35"/>
      <c r="O324" s="35"/>
      <c r="P324" s="35"/>
      <c r="Q324" s="35"/>
      <c r="R324" s="14"/>
      <c r="S324" s="14"/>
      <c r="T324" s="35"/>
      <c r="U324" s="35"/>
    </row>
    <row r="325" spans="1:22" ht="25.5" x14ac:dyDescent="0.2">
      <c r="A325" s="1" t="s">
        <v>142</v>
      </c>
      <c r="B325" s="2" t="s">
        <v>53</v>
      </c>
      <c r="C325" s="2" t="s">
        <v>143</v>
      </c>
      <c r="D325" s="2" t="s">
        <v>71</v>
      </c>
      <c r="E325" s="2">
        <v>2020</v>
      </c>
      <c r="F325" s="2" t="s">
        <v>337</v>
      </c>
      <c r="G325" s="2" t="s">
        <v>1667</v>
      </c>
      <c r="H325" s="2" t="s">
        <v>1669</v>
      </c>
      <c r="I325" s="1" t="s">
        <v>14</v>
      </c>
      <c r="J325" s="1" t="s">
        <v>1440</v>
      </c>
      <c r="L325" s="34">
        <v>0.161</v>
      </c>
      <c r="M325" s="35">
        <v>74.92</v>
      </c>
      <c r="N325" s="35"/>
      <c r="O325" s="35"/>
      <c r="P325" s="35"/>
      <c r="Q325" s="35"/>
      <c r="R325" s="14"/>
      <c r="S325" s="14"/>
      <c r="T325" s="35"/>
      <c r="U325" s="35"/>
    </row>
    <row r="326" spans="1:22" ht="25.5" x14ac:dyDescent="0.2">
      <c r="A326" s="1" t="s">
        <v>142</v>
      </c>
      <c r="B326" s="2" t="s">
        <v>53</v>
      </c>
      <c r="C326" s="2" t="s">
        <v>143</v>
      </c>
      <c r="D326" s="2" t="s">
        <v>71</v>
      </c>
      <c r="E326" s="2">
        <v>2020</v>
      </c>
      <c r="F326" s="2" t="s">
        <v>364</v>
      </c>
      <c r="G326" s="2" t="s">
        <v>1667</v>
      </c>
      <c r="H326" s="2" t="s">
        <v>1669</v>
      </c>
      <c r="I326" s="1" t="s">
        <v>14</v>
      </c>
      <c r="J326" s="1" t="s">
        <v>1593</v>
      </c>
      <c r="L326" s="34">
        <v>0.158</v>
      </c>
      <c r="M326" s="35">
        <v>78.38</v>
      </c>
      <c r="N326" s="35"/>
      <c r="O326" s="35"/>
      <c r="P326" s="35"/>
      <c r="Q326" s="35"/>
      <c r="R326" s="14"/>
      <c r="S326" s="14"/>
      <c r="T326" s="35"/>
      <c r="U326" s="35"/>
    </row>
    <row r="327" spans="1:22" ht="25.5" x14ac:dyDescent="0.2">
      <c r="A327" s="1" t="s">
        <v>142</v>
      </c>
      <c r="B327" s="2" t="s">
        <v>53</v>
      </c>
      <c r="C327" s="2" t="s">
        <v>143</v>
      </c>
      <c r="D327" s="2" t="s">
        <v>71</v>
      </c>
      <c r="E327" s="2">
        <v>2020</v>
      </c>
      <c r="F327" s="2" t="s">
        <v>388</v>
      </c>
      <c r="G327" s="2" t="s">
        <v>1667</v>
      </c>
      <c r="H327" s="2" t="s">
        <v>1669</v>
      </c>
      <c r="I327" s="1" t="s">
        <v>14</v>
      </c>
      <c r="J327" s="1" t="s">
        <v>1613</v>
      </c>
      <c r="L327" s="34">
        <v>0.156</v>
      </c>
      <c r="M327" s="35">
        <v>91.83</v>
      </c>
      <c r="N327" s="35"/>
      <c r="O327" s="35"/>
      <c r="P327" s="35"/>
      <c r="Q327" s="35"/>
      <c r="R327" s="35"/>
      <c r="S327" s="35"/>
      <c r="T327" s="35"/>
      <c r="U327" s="35"/>
    </row>
    <row r="328" spans="1:22" ht="38.25" x14ac:dyDescent="0.2">
      <c r="A328" s="1" t="s">
        <v>447</v>
      </c>
      <c r="B328" s="2" t="s">
        <v>10</v>
      </c>
      <c r="C328" s="2" t="s">
        <v>448</v>
      </c>
      <c r="D328" s="2" t="s">
        <v>12</v>
      </c>
      <c r="E328" s="2">
        <v>2020</v>
      </c>
      <c r="F328" s="2" t="s">
        <v>13</v>
      </c>
      <c r="G328" s="2" t="s">
        <v>1667</v>
      </c>
      <c r="H328" s="2" t="s">
        <v>1669</v>
      </c>
      <c r="I328" s="1" t="s">
        <v>14</v>
      </c>
      <c r="J328" s="1" t="s">
        <v>483</v>
      </c>
      <c r="L328" s="34"/>
      <c r="M328" s="35"/>
      <c r="N328" s="35"/>
      <c r="O328" s="35"/>
      <c r="P328" s="35"/>
      <c r="Q328" s="35"/>
      <c r="R328" s="35"/>
      <c r="S328" s="35"/>
      <c r="T328" s="35"/>
      <c r="U328" s="35"/>
      <c r="V328" s="60" t="s">
        <v>1735</v>
      </c>
    </row>
    <row r="329" spans="1:22" ht="38.25" x14ac:dyDescent="0.2">
      <c r="A329" s="1" t="s">
        <v>447</v>
      </c>
      <c r="B329" s="2" t="s">
        <v>10</v>
      </c>
      <c r="C329" s="2" t="s">
        <v>448</v>
      </c>
      <c r="D329" s="2" t="s">
        <v>12</v>
      </c>
      <c r="E329" s="2">
        <v>2020</v>
      </c>
      <c r="F329" s="2" t="s">
        <v>188</v>
      </c>
      <c r="G329" s="2" t="s">
        <v>1667</v>
      </c>
      <c r="H329" s="2" t="s">
        <v>1669</v>
      </c>
      <c r="I329" s="1" t="s">
        <v>14</v>
      </c>
      <c r="J329" s="1" t="s">
        <v>549</v>
      </c>
      <c r="L329" s="34"/>
      <c r="M329" s="35"/>
      <c r="N329" s="35"/>
      <c r="O329" s="35"/>
      <c r="P329" s="35"/>
      <c r="Q329" s="35"/>
      <c r="R329" s="35"/>
      <c r="S329" s="35"/>
      <c r="T329" s="35"/>
      <c r="U329" s="35"/>
      <c r="V329" s="60" t="s">
        <v>1735</v>
      </c>
    </row>
    <row r="330" spans="1:22" ht="38.25" x14ac:dyDescent="0.2">
      <c r="A330" s="1" t="s">
        <v>447</v>
      </c>
      <c r="B330" s="2" t="s">
        <v>10</v>
      </c>
      <c r="C330" s="2" t="s">
        <v>448</v>
      </c>
      <c r="D330" s="2" t="s">
        <v>12</v>
      </c>
      <c r="E330" s="2">
        <v>2020</v>
      </c>
      <c r="F330" s="2" t="s">
        <v>203</v>
      </c>
      <c r="G330" s="2" t="s">
        <v>1667</v>
      </c>
      <c r="H330" s="2" t="s">
        <v>1669</v>
      </c>
      <c r="I330" s="1" t="s">
        <v>14</v>
      </c>
      <c r="J330" s="1" t="s">
        <v>611</v>
      </c>
      <c r="L330" s="34"/>
      <c r="M330" s="35"/>
      <c r="N330" s="35"/>
      <c r="O330" s="35"/>
      <c r="P330" s="35"/>
      <c r="Q330" s="35"/>
      <c r="S330" s="35"/>
      <c r="T330" s="35"/>
      <c r="U330" s="35"/>
      <c r="V330" s="60" t="s">
        <v>1735</v>
      </c>
    </row>
    <row r="331" spans="1:22" ht="38.25" x14ac:dyDescent="0.2">
      <c r="A331" s="1" t="s">
        <v>447</v>
      </c>
      <c r="B331" s="2" t="s">
        <v>10</v>
      </c>
      <c r="C331" s="2" t="s">
        <v>448</v>
      </c>
      <c r="D331" s="2" t="s">
        <v>12</v>
      </c>
      <c r="E331" s="2">
        <v>2020</v>
      </c>
      <c r="F331" s="2" t="s">
        <v>211</v>
      </c>
      <c r="G331" s="2" t="s">
        <v>1667</v>
      </c>
      <c r="H331" s="2" t="s">
        <v>1669</v>
      </c>
      <c r="I331" s="1" t="s">
        <v>14</v>
      </c>
      <c r="J331" s="1" t="s">
        <v>681</v>
      </c>
      <c r="L331" s="34"/>
      <c r="M331" s="35"/>
      <c r="N331" s="35"/>
      <c r="O331" s="35"/>
      <c r="P331" s="35"/>
      <c r="Q331" s="35"/>
      <c r="S331" s="35"/>
      <c r="T331" s="35"/>
      <c r="U331" s="35"/>
      <c r="V331" s="60" t="s">
        <v>1735</v>
      </c>
    </row>
    <row r="332" spans="1:22" ht="38.25" x14ac:dyDescent="0.2">
      <c r="A332" s="1" t="s">
        <v>447</v>
      </c>
      <c r="B332" s="2" t="s">
        <v>10</v>
      </c>
      <c r="C332" s="2" t="s">
        <v>448</v>
      </c>
      <c r="D332" s="2" t="s">
        <v>12</v>
      </c>
      <c r="E332" s="2">
        <v>2020</v>
      </c>
      <c r="F332" s="2" t="s">
        <v>221</v>
      </c>
      <c r="G332" s="2" t="s">
        <v>1667</v>
      </c>
      <c r="H332" s="2" t="s">
        <v>1669</v>
      </c>
      <c r="I332" s="1" t="s">
        <v>14</v>
      </c>
      <c r="J332" s="1" t="s">
        <v>759</v>
      </c>
      <c r="L332" s="34"/>
      <c r="M332" s="35"/>
      <c r="N332" s="35"/>
      <c r="O332" s="35"/>
      <c r="P332" s="35"/>
      <c r="Q332" s="35"/>
      <c r="S332" s="35"/>
      <c r="T332" s="35"/>
      <c r="U332" s="35"/>
      <c r="V332" s="60" t="s">
        <v>1735</v>
      </c>
    </row>
    <row r="333" spans="1:22" ht="38.25" x14ac:dyDescent="0.2">
      <c r="A333" s="1" t="s">
        <v>447</v>
      </c>
      <c r="B333" s="2" t="s">
        <v>10</v>
      </c>
      <c r="C333" s="2" t="s">
        <v>448</v>
      </c>
      <c r="D333" s="2" t="s">
        <v>12</v>
      </c>
      <c r="E333" s="2">
        <v>2020</v>
      </c>
      <c r="F333" s="2" t="s">
        <v>256</v>
      </c>
      <c r="G333" s="2" t="s">
        <v>1667</v>
      </c>
      <c r="H333" s="2" t="s">
        <v>1669</v>
      </c>
      <c r="I333" s="1" t="s">
        <v>14</v>
      </c>
      <c r="J333" s="1" t="s">
        <v>864</v>
      </c>
      <c r="L333" s="34"/>
      <c r="M333" s="35"/>
      <c r="N333" s="35"/>
      <c r="O333" s="35"/>
      <c r="P333" s="35"/>
      <c r="Q333" s="35"/>
      <c r="S333" s="14"/>
      <c r="T333" s="35"/>
      <c r="U333" s="35"/>
      <c r="V333" s="60" t="s">
        <v>1735</v>
      </c>
    </row>
    <row r="334" spans="1:22" ht="38.25" x14ac:dyDescent="0.2">
      <c r="A334" s="1" t="s">
        <v>447</v>
      </c>
      <c r="B334" s="2" t="s">
        <v>10</v>
      </c>
      <c r="C334" s="2" t="s">
        <v>448</v>
      </c>
      <c r="D334" s="2" t="s">
        <v>12</v>
      </c>
      <c r="E334" s="2">
        <v>2020</v>
      </c>
      <c r="F334" s="2" t="s">
        <v>276</v>
      </c>
      <c r="G334" s="2" t="s">
        <v>1667</v>
      </c>
      <c r="H334" s="2" t="s">
        <v>1669</v>
      </c>
      <c r="I334" s="1" t="s">
        <v>14</v>
      </c>
      <c r="J334" s="1" t="s">
        <v>956</v>
      </c>
      <c r="L334" s="34"/>
      <c r="M334" s="35"/>
      <c r="N334" s="35"/>
      <c r="O334" s="35"/>
      <c r="P334" s="35"/>
      <c r="Q334" s="35"/>
      <c r="S334" s="14"/>
      <c r="T334" s="35"/>
      <c r="U334" s="35"/>
      <c r="V334" s="60" t="s">
        <v>1735</v>
      </c>
    </row>
    <row r="335" spans="1:22" ht="38.25" x14ac:dyDescent="0.2">
      <c r="A335" s="1" t="s">
        <v>447</v>
      </c>
      <c r="B335" s="2" t="s">
        <v>10</v>
      </c>
      <c r="C335" s="2" t="s">
        <v>448</v>
      </c>
      <c r="D335" s="2" t="s">
        <v>12</v>
      </c>
      <c r="E335" s="2">
        <v>2020</v>
      </c>
      <c r="F335" s="2" t="s">
        <v>291</v>
      </c>
      <c r="G335" s="2" t="s">
        <v>1667</v>
      </c>
      <c r="H335" s="2" t="s">
        <v>1669</v>
      </c>
      <c r="I335" s="1" t="s">
        <v>14</v>
      </c>
      <c r="J335" s="1" t="s">
        <v>1067</v>
      </c>
      <c r="L335" s="34"/>
      <c r="M335" s="35"/>
      <c r="N335" s="35"/>
      <c r="O335" s="35"/>
      <c r="P335" s="35"/>
      <c r="Q335" s="35"/>
      <c r="S335" s="14"/>
      <c r="T335" s="35"/>
      <c r="U335" s="35"/>
      <c r="V335" s="60" t="s">
        <v>1735</v>
      </c>
    </row>
    <row r="336" spans="1:22" ht="38.25" x14ac:dyDescent="0.2">
      <c r="A336" s="1" t="s">
        <v>447</v>
      </c>
      <c r="B336" s="2" t="s">
        <v>10</v>
      </c>
      <c r="C336" s="2" t="s">
        <v>448</v>
      </c>
      <c r="D336" s="2" t="s">
        <v>12</v>
      </c>
      <c r="E336" s="2">
        <v>2020</v>
      </c>
      <c r="F336" s="2" t="s">
        <v>311</v>
      </c>
      <c r="G336" s="2" t="s">
        <v>1667</v>
      </c>
      <c r="H336" s="2" t="s">
        <v>1669</v>
      </c>
      <c r="I336" s="1" t="s">
        <v>14</v>
      </c>
      <c r="J336" s="1" t="s">
        <v>1199</v>
      </c>
      <c r="L336" s="34"/>
      <c r="M336" s="35"/>
      <c r="N336" s="35"/>
      <c r="O336" s="35"/>
      <c r="P336" s="35"/>
      <c r="Q336" s="35"/>
      <c r="S336" s="14"/>
      <c r="T336" s="35"/>
      <c r="U336" s="35"/>
      <c r="V336" s="60" t="s">
        <v>1735</v>
      </c>
    </row>
    <row r="337" spans="1:22" ht="38.25" x14ac:dyDescent="0.2">
      <c r="A337" s="1" t="s">
        <v>447</v>
      </c>
      <c r="B337" s="2" t="s">
        <v>10</v>
      </c>
      <c r="C337" s="2" t="s">
        <v>448</v>
      </c>
      <c r="D337" s="2" t="s">
        <v>12</v>
      </c>
      <c r="E337" s="2">
        <v>2020</v>
      </c>
      <c r="F337" s="2" t="s">
        <v>337</v>
      </c>
      <c r="G337" s="2" t="s">
        <v>1667</v>
      </c>
      <c r="H337" s="2" t="s">
        <v>1669</v>
      </c>
      <c r="I337" s="1" t="s">
        <v>14</v>
      </c>
      <c r="J337" s="1" t="s">
        <v>1335</v>
      </c>
      <c r="L337" s="34"/>
      <c r="M337" s="35"/>
      <c r="N337" s="35"/>
      <c r="O337" s="35"/>
      <c r="P337" s="35"/>
      <c r="Q337" s="35"/>
      <c r="S337" s="14"/>
      <c r="T337" s="35"/>
      <c r="U337" s="35"/>
      <c r="V337" s="60" t="s">
        <v>1735</v>
      </c>
    </row>
    <row r="338" spans="1:22" ht="38.25" x14ac:dyDescent="0.2">
      <c r="A338" s="1" t="s">
        <v>447</v>
      </c>
      <c r="B338" s="2" t="s">
        <v>10</v>
      </c>
      <c r="C338" s="2" t="s">
        <v>448</v>
      </c>
      <c r="D338" s="2" t="s">
        <v>12</v>
      </c>
      <c r="E338" s="2">
        <v>2020</v>
      </c>
      <c r="F338" s="2" t="s">
        <v>364</v>
      </c>
      <c r="G338" s="2" t="s">
        <v>1667</v>
      </c>
      <c r="H338" s="2" t="s">
        <v>1669</v>
      </c>
      <c r="I338" s="1" t="s">
        <v>14</v>
      </c>
      <c r="J338" s="1" t="s">
        <v>1474</v>
      </c>
      <c r="L338" s="34"/>
      <c r="M338" s="35"/>
      <c r="N338" s="35"/>
      <c r="O338" s="35"/>
      <c r="P338" s="35"/>
      <c r="Q338" s="35"/>
      <c r="S338" s="14"/>
      <c r="T338" s="35"/>
      <c r="U338" s="35"/>
      <c r="V338" s="60" t="s">
        <v>1735</v>
      </c>
    </row>
    <row r="339" spans="1:22" ht="38.25" x14ac:dyDescent="0.2">
      <c r="A339" s="1" t="s">
        <v>447</v>
      </c>
      <c r="B339" s="2" t="s">
        <v>10</v>
      </c>
      <c r="C339" s="2" t="s">
        <v>448</v>
      </c>
      <c r="D339" s="2" t="s">
        <v>12</v>
      </c>
      <c r="E339" s="2">
        <v>2020</v>
      </c>
      <c r="F339" s="2" t="s">
        <v>388</v>
      </c>
      <c r="G339" s="2" t="s">
        <v>1667</v>
      </c>
      <c r="H339" s="2" t="s">
        <v>1669</v>
      </c>
      <c r="I339" s="1" t="s">
        <v>14</v>
      </c>
      <c r="J339" s="1" t="s">
        <v>1596</v>
      </c>
      <c r="L339" s="34"/>
      <c r="M339" s="35"/>
      <c r="N339" s="35"/>
      <c r="O339" s="35"/>
      <c r="P339" s="35"/>
      <c r="Q339" s="35"/>
      <c r="S339" s="14"/>
      <c r="T339" s="35"/>
      <c r="U339" s="35"/>
      <c r="V339" s="60" t="s">
        <v>1735</v>
      </c>
    </row>
    <row r="340" spans="1:22" ht="25.5" x14ac:dyDescent="0.2">
      <c r="A340" s="1" t="s">
        <v>405</v>
      </c>
      <c r="B340" s="2" t="s">
        <v>357</v>
      </c>
      <c r="C340" s="2" t="s">
        <v>406</v>
      </c>
      <c r="D340" s="2" t="s">
        <v>328</v>
      </c>
      <c r="E340" s="2">
        <v>2020</v>
      </c>
      <c r="F340" s="2" t="s">
        <v>256</v>
      </c>
      <c r="G340" s="2" t="s">
        <v>1669</v>
      </c>
      <c r="H340" s="2" t="s">
        <v>1669</v>
      </c>
      <c r="I340" s="1" t="s">
        <v>872</v>
      </c>
      <c r="J340" s="1" t="s">
        <v>873</v>
      </c>
      <c r="L340" s="5"/>
      <c r="M340" s="35"/>
      <c r="N340" s="35"/>
      <c r="O340" s="35"/>
      <c r="P340" s="35"/>
      <c r="Q340" s="35"/>
      <c r="R340" s="6"/>
      <c r="S340" s="6"/>
      <c r="T340" s="35"/>
      <c r="U340" s="35"/>
      <c r="V340" s="60" t="s">
        <v>1683</v>
      </c>
    </row>
    <row r="341" spans="1:22" ht="38.25" x14ac:dyDescent="0.2">
      <c r="A341" s="1" t="s">
        <v>405</v>
      </c>
      <c r="B341" s="2" t="s">
        <v>357</v>
      </c>
      <c r="C341" s="2" t="s">
        <v>406</v>
      </c>
      <c r="D341" s="2" t="s">
        <v>328</v>
      </c>
      <c r="E341" s="2">
        <v>2020</v>
      </c>
      <c r="F341" s="2" t="s">
        <v>276</v>
      </c>
      <c r="G341" s="2" t="s">
        <v>1669</v>
      </c>
      <c r="H341" s="2" t="s">
        <v>1669</v>
      </c>
      <c r="I341" s="1" t="s">
        <v>1001</v>
      </c>
      <c r="J341" s="1" t="s">
        <v>1002</v>
      </c>
      <c r="L341" s="5" t="s">
        <v>1670</v>
      </c>
      <c r="M341" s="35"/>
      <c r="N341" s="35"/>
      <c r="O341" s="35"/>
      <c r="P341" s="35"/>
      <c r="Q341" s="35"/>
      <c r="R341" s="6"/>
      <c r="S341" s="6"/>
      <c r="T341" s="35"/>
      <c r="U341" s="43">
        <f>17000*0.004546</f>
        <v>77.281999999999996</v>
      </c>
      <c r="V341" s="60" t="s">
        <v>1701</v>
      </c>
    </row>
    <row r="342" spans="1:22" ht="51" x14ac:dyDescent="0.2">
      <c r="A342" s="1" t="s">
        <v>362</v>
      </c>
      <c r="B342" s="2" t="s">
        <v>277</v>
      </c>
      <c r="C342" s="2" t="s">
        <v>363</v>
      </c>
      <c r="D342" s="2" t="s">
        <v>333</v>
      </c>
      <c r="E342" s="2">
        <v>2020</v>
      </c>
      <c r="F342" s="2" t="s">
        <v>311</v>
      </c>
      <c r="G342" s="2" t="s">
        <v>1669</v>
      </c>
      <c r="H342" s="2" t="s">
        <v>1669</v>
      </c>
      <c r="I342" s="1" t="s">
        <v>1316</v>
      </c>
      <c r="J342" s="1" t="s">
        <v>1317</v>
      </c>
      <c r="L342" s="34" t="s">
        <v>1670</v>
      </c>
      <c r="M342" s="35"/>
      <c r="N342" s="35"/>
      <c r="O342" s="35"/>
      <c r="P342" s="35"/>
      <c r="Q342" s="35"/>
      <c r="R342" s="14"/>
      <c r="S342" s="14"/>
      <c r="T342" s="35"/>
      <c r="U342" s="43">
        <f>3200*0.004546</f>
        <v>14.547199999999998</v>
      </c>
      <c r="V342" s="60" t="s">
        <v>1701</v>
      </c>
    </row>
    <row r="343" spans="1:22" ht="63.75" x14ac:dyDescent="0.2">
      <c r="A343" s="1" t="s">
        <v>22</v>
      </c>
      <c r="B343" s="2" t="s">
        <v>16</v>
      </c>
      <c r="C343" s="2" t="s">
        <v>20</v>
      </c>
      <c r="D343" s="2" t="s">
        <v>21</v>
      </c>
      <c r="E343" s="2">
        <v>2020</v>
      </c>
      <c r="F343" s="2" t="s">
        <v>13</v>
      </c>
      <c r="G343" s="2" t="s">
        <v>1667</v>
      </c>
      <c r="H343" s="2" t="s">
        <v>1669</v>
      </c>
      <c r="I343" s="1" t="s">
        <v>14</v>
      </c>
      <c r="J343" s="1" t="s">
        <v>515</v>
      </c>
      <c r="L343" s="5">
        <v>0.26700000000000002</v>
      </c>
      <c r="M343" s="35"/>
      <c r="N343" s="35"/>
      <c r="O343" s="35"/>
      <c r="P343" s="35"/>
      <c r="Q343" s="35"/>
      <c r="R343" s="35">
        <v>571.70000000000005</v>
      </c>
      <c r="S343" s="35"/>
      <c r="T343" s="35"/>
      <c r="U343" s="35"/>
    </row>
    <row r="344" spans="1:22" ht="63.75" x14ac:dyDescent="0.2">
      <c r="A344" s="1" t="s">
        <v>22</v>
      </c>
      <c r="B344" s="2" t="s">
        <v>16</v>
      </c>
      <c r="C344" s="2" t="s">
        <v>20</v>
      </c>
      <c r="D344" s="2" t="s">
        <v>21</v>
      </c>
      <c r="E344" s="2">
        <v>2020</v>
      </c>
      <c r="F344" s="2" t="s">
        <v>188</v>
      </c>
      <c r="G344" s="2" t="s">
        <v>1667</v>
      </c>
      <c r="H344" s="2" t="s">
        <v>1669</v>
      </c>
      <c r="I344" s="1" t="s">
        <v>14</v>
      </c>
      <c r="J344" s="1" t="s">
        <v>565</v>
      </c>
      <c r="L344" s="34">
        <v>0.26700000000000002</v>
      </c>
      <c r="M344" s="35"/>
      <c r="N344" s="35"/>
      <c r="O344" s="35"/>
      <c r="P344" s="35"/>
      <c r="Q344" s="35"/>
      <c r="R344" s="35">
        <v>446.8</v>
      </c>
      <c r="S344" s="35"/>
      <c r="T344" s="35"/>
      <c r="U344" s="35"/>
    </row>
    <row r="345" spans="1:22" ht="63.75" x14ac:dyDescent="0.2">
      <c r="A345" s="1" t="s">
        <v>22</v>
      </c>
      <c r="B345" s="2" t="s">
        <v>16</v>
      </c>
      <c r="C345" s="2" t="s">
        <v>20</v>
      </c>
      <c r="D345" s="2" t="s">
        <v>21</v>
      </c>
      <c r="E345" s="2">
        <v>2020</v>
      </c>
      <c r="F345" s="2" t="s">
        <v>203</v>
      </c>
      <c r="G345" s="2" t="s">
        <v>1667</v>
      </c>
      <c r="H345" s="2" t="s">
        <v>1669</v>
      </c>
      <c r="I345" s="1" t="s">
        <v>14</v>
      </c>
      <c r="J345" s="1" t="s">
        <v>642</v>
      </c>
      <c r="L345" s="34">
        <v>0.27400000000000002</v>
      </c>
      <c r="M345" s="35"/>
      <c r="N345" s="35"/>
      <c r="O345" s="35"/>
      <c r="P345" s="35"/>
      <c r="Q345" s="35"/>
      <c r="R345" s="44">
        <v>509.4</v>
      </c>
      <c r="S345" s="35"/>
      <c r="T345" s="35"/>
      <c r="U345" s="35"/>
    </row>
    <row r="346" spans="1:22" ht="63.75" x14ac:dyDescent="0.2">
      <c r="A346" s="1" t="s">
        <v>22</v>
      </c>
      <c r="B346" s="2" t="s">
        <v>16</v>
      </c>
      <c r="C346" s="2" t="s">
        <v>20</v>
      </c>
      <c r="D346" s="2" t="s">
        <v>21</v>
      </c>
      <c r="E346" s="2">
        <v>2020</v>
      </c>
      <c r="F346" s="2" t="s">
        <v>211</v>
      </c>
      <c r="G346" s="2" t="s">
        <v>1667</v>
      </c>
      <c r="H346" s="2" t="s">
        <v>1669</v>
      </c>
      <c r="I346" s="1" t="s">
        <v>14</v>
      </c>
      <c r="J346" s="1" t="s">
        <v>707</v>
      </c>
      <c r="L346" s="34">
        <v>0.26400000000000001</v>
      </c>
      <c r="M346" s="35"/>
      <c r="N346" s="35"/>
      <c r="O346" s="35"/>
      <c r="P346" s="35"/>
      <c r="Q346" s="35"/>
      <c r="R346" s="44">
        <v>414.4</v>
      </c>
      <c r="S346" s="35"/>
      <c r="T346" s="35"/>
      <c r="U346" s="35"/>
    </row>
    <row r="347" spans="1:22" ht="63.75" x14ac:dyDescent="0.2">
      <c r="A347" s="1" t="s">
        <v>22</v>
      </c>
      <c r="B347" s="2" t="s">
        <v>16</v>
      </c>
      <c r="C347" s="2" t="s">
        <v>20</v>
      </c>
      <c r="D347" s="2" t="s">
        <v>21</v>
      </c>
      <c r="E347" s="2">
        <v>2020</v>
      </c>
      <c r="F347" s="2" t="s">
        <v>221</v>
      </c>
      <c r="G347" s="2" t="s">
        <v>1667</v>
      </c>
      <c r="H347" s="2" t="s">
        <v>1669</v>
      </c>
      <c r="I347" s="1" t="s">
        <v>14</v>
      </c>
      <c r="J347" s="1" t="s">
        <v>827</v>
      </c>
      <c r="L347" s="34">
        <v>0.27900000000000003</v>
      </c>
      <c r="M347" s="35"/>
      <c r="N347" s="35"/>
      <c r="O347" s="35"/>
      <c r="P347" s="35"/>
      <c r="Q347" s="35"/>
      <c r="R347" s="44">
        <v>534.4</v>
      </c>
      <c r="S347" s="14"/>
      <c r="T347" s="35"/>
      <c r="U347" s="35"/>
    </row>
    <row r="348" spans="1:22" ht="63.75" x14ac:dyDescent="0.2">
      <c r="A348" s="1" t="s">
        <v>22</v>
      </c>
      <c r="B348" s="2" t="s">
        <v>16</v>
      </c>
      <c r="C348" s="2" t="s">
        <v>20</v>
      </c>
      <c r="D348" s="2" t="s">
        <v>21</v>
      </c>
      <c r="E348" s="2">
        <v>2020</v>
      </c>
      <c r="F348" s="2" t="s">
        <v>256</v>
      </c>
      <c r="G348" s="2" t="s">
        <v>1667</v>
      </c>
      <c r="H348" s="2" t="s">
        <v>1669</v>
      </c>
      <c r="I348" s="1" t="s">
        <v>14</v>
      </c>
      <c r="J348" s="1" t="s">
        <v>938</v>
      </c>
      <c r="L348" s="34">
        <v>0.30599999999999999</v>
      </c>
      <c r="M348" s="35"/>
      <c r="N348" s="35"/>
      <c r="O348" s="35"/>
      <c r="P348" s="35"/>
      <c r="Q348" s="35"/>
      <c r="R348" s="44">
        <v>521.6</v>
      </c>
      <c r="S348" s="14"/>
      <c r="T348" s="35"/>
      <c r="U348" s="35"/>
    </row>
    <row r="349" spans="1:22" ht="63.75" x14ac:dyDescent="0.2">
      <c r="A349" s="1" t="s">
        <v>22</v>
      </c>
      <c r="B349" s="2" t="s">
        <v>16</v>
      </c>
      <c r="C349" s="2" t="s">
        <v>20</v>
      </c>
      <c r="D349" s="2" t="s">
        <v>21</v>
      </c>
      <c r="E349" s="2">
        <v>2020</v>
      </c>
      <c r="F349" s="2" t="s">
        <v>276</v>
      </c>
      <c r="G349" s="2" t="s">
        <v>1667</v>
      </c>
      <c r="H349" s="2" t="s">
        <v>1669</v>
      </c>
      <c r="I349" s="1" t="s">
        <v>14</v>
      </c>
      <c r="J349" s="1" t="s">
        <v>1039</v>
      </c>
      <c r="L349" s="34">
        <v>0.315</v>
      </c>
      <c r="M349" s="35"/>
      <c r="N349" s="35"/>
      <c r="O349" s="35"/>
      <c r="P349" s="35"/>
      <c r="Q349" s="35"/>
      <c r="R349" s="44">
        <v>532.5</v>
      </c>
      <c r="S349" s="14"/>
      <c r="T349" s="35"/>
      <c r="U349" s="35"/>
    </row>
    <row r="350" spans="1:22" ht="63.75" x14ac:dyDescent="0.2">
      <c r="A350" s="1" t="s">
        <v>22</v>
      </c>
      <c r="B350" s="2" t="s">
        <v>16</v>
      </c>
      <c r="C350" s="2" t="s">
        <v>20</v>
      </c>
      <c r="D350" s="2" t="s">
        <v>21</v>
      </c>
      <c r="E350" s="2">
        <v>2020</v>
      </c>
      <c r="F350" s="2" t="s">
        <v>291</v>
      </c>
      <c r="G350" s="2" t="s">
        <v>1667</v>
      </c>
      <c r="H350" s="2" t="s">
        <v>1669</v>
      </c>
      <c r="I350" s="1" t="s">
        <v>14</v>
      </c>
      <c r="J350" s="1" t="s">
        <v>1159</v>
      </c>
      <c r="L350" s="34">
        <v>0.32600000000000001</v>
      </c>
      <c r="M350" s="35"/>
      <c r="N350" s="35"/>
      <c r="O350" s="35"/>
      <c r="P350" s="35"/>
      <c r="Q350" s="35"/>
      <c r="R350" s="44">
        <v>453.6</v>
      </c>
      <c r="S350" s="14"/>
      <c r="T350" s="35"/>
      <c r="U350" s="35"/>
    </row>
    <row r="351" spans="1:22" ht="63.75" x14ac:dyDescent="0.2">
      <c r="A351" s="1" t="s">
        <v>22</v>
      </c>
      <c r="B351" s="2" t="s">
        <v>16</v>
      </c>
      <c r="C351" s="2" t="s">
        <v>20</v>
      </c>
      <c r="D351" s="2" t="s">
        <v>21</v>
      </c>
      <c r="E351" s="2">
        <v>2020</v>
      </c>
      <c r="F351" s="2" t="s">
        <v>311</v>
      </c>
      <c r="G351" s="2" t="s">
        <v>1667</v>
      </c>
      <c r="H351" s="2" t="s">
        <v>1669</v>
      </c>
      <c r="I351" s="1" t="s">
        <v>14</v>
      </c>
      <c r="J351" s="1" t="s">
        <v>1216</v>
      </c>
      <c r="L351" s="34">
        <v>0.30499999999999999</v>
      </c>
      <c r="M351" s="35"/>
      <c r="N351" s="35"/>
      <c r="O351" s="35"/>
      <c r="P351" s="35"/>
      <c r="Q351" s="35"/>
      <c r="R351" s="44">
        <v>507.8</v>
      </c>
      <c r="S351" s="14"/>
      <c r="T351" s="35"/>
      <c r="U351" s="35"/>
    </row>
    <row r="352" spans="1:22" ht="63.75" x14ac:dyDescent="0.2">
      <c r="A352" s="1" t="s">
        <v>22</v>
      </c>
      <c r="B352" s="2" t="s">
        <v>16</v>
      </c>
      <c r="C352" s="2" t="s">
        <v>20</v>
      </c>
      <c r="D352" s="2" t="s">
        <v>21</v>
      </c>
      <c r="E352" s="2">
        <v>2020</v>
      </c>
      <c r="F352" s="2" t="s">
        <v>337</v>
      </c>
      <c r="G352" s="2" t="s">
        <v>1667</v>
      </c>
      <c r="H352" s="2" t="s">
        <v>1669</v>
      </c>
      <c r="I352" s="1" t="s">
        <v>14</v>
      </c>
      <c r="J352" s="1" t="s">
        <v>1442</v>
      </c>
      <c r="L352" s="34">
        <v>0.32</v>
      </c>
      <c r="M352" s="35"/>
      <c r="N352" s="35"/>
      <c r="O352" s="35"/>
      <c r="P352" s="35"/>
      <c r="Q352" s="35"/>
      <c r="R352" s="44">
        <v>502.5</v>
      </c>
      <c r="S352" s="14"/>
      <c r="T352" s="35"/>
      <c r="U352" s="35"/>
    </row>
    <row r="353" spans="1:21" ht="51" x14ac:dyDescent="0.2">
      <c r="A353" s="1" t="s">
        <v>22</v>
      </c>
      <c r="B353" s="2" t="s">
        <v>16</v>
      </c>
      <c r="C353" s="2" t="s">
        <v>20</v>
      </c>
      <c r="D353" s="2" t="s">
        <v>21</v>
      </c>
      <c r="E353" s="2">
        <v>2020</v>
      </c>
      <c r="F353" s="2" t="s">
        <v>364</v>
      </c>
      <c r="G353" s="2" t="s">
        <v>1667</v>
      </c>
      <c r="H353" s="2" t="s">
        <v>1669</v>
      </c>
      <c r="I353" s="1" t="s">
        <v>14</v>
      </c>
      <c r="J353" s="1" t="s">
        <v>1493</v>
      </c>
      <c r="L353" s="34">
        <v>0.31</v>
      </c>
      <c r="M353" s="35"/>
      <c r="N353" s="35"/>
      <c r="O353" s="35"/>
      <c r="P353" s="35"/>
      <c r="Q353" s="35"/>
      <c r="R353" s="44">
        <v>470</v>
      </c>
      <c r="S353" s="14"/>
      <c r="T353" s="35"/>
      <c r="U353" s="35"/>
    </row>
    <row r="354" spans="1:21" ht="63.75" x14ac:dyDescent="0.2">
      <c r="A354" s="1" t="s">
        <v>22</v>
      </c>
      <c r="B354" s="2" t="s">
        <v>16</v>
      </c>
      <c r="C354" s="2" t="s">
        <v>20</v>
      </c>
      <c r="D354" s="2" t="s">
        <v>21</v>
      </c>
      <c r="E354" s="2">
        <v>2020</v>
      </c>
      <c r="F354" s="2" t="s">
        <v>388</v>
      </c>
      <c r="G354" s="2" t="s">
        <v>1667</v>
      </c>
      <c r="H354" s="2" t="s">
        <v>1669</v>
      </c>
      <c r="I354" s="1" t="s">
        <v>14</v>
      </c>
      <c r="J354" s="1" t="s">
        <v>1616</v>
      </c>
      <c r="L354" s="34">
        <v>0.30099999999999999</v>
      </c>
      <c r="M354" s="35"/>
      <c r="N354" s="35"/>
      <c r="O354" s="35"/>
      <c r="P354" s="35"/>
      <c r="Q354" s="35"/>
      <c r="R354" s="35">
        <v>501.2</v>
      </c>
      <c r="S354" s="35"/>
      <c r="T354" s="35"/>
      <c r="U354" s="35"/>
    </row>
    <row r="355" spans="1:21" ht="63.75" x14ac:dyDescent="0.2">
      <c r="A355" s="1" t="s">
        <v>19</v>
      </c>
      <c r="B355" s="2" t="s">
        <v>16</v>
      </c>
      <c r="C355" s="2" t="s">
        <v>20</v>
      </c>
      <c r="D355" s="2" t="s">
        <v>21</v>
      </c>
      <c r="E355" s="2">
        <v>2020</v>
      </c>
      <c r="F355" s="2" t="s">
        <v>13</v>
      </c>
      <c r="G355" s="2" t="s">
        <v>1667</v>
      </c>
      <c r="H355" s="2" t="s">
        <v>1669</v>
      </c>
      <c r="I355" s="1" t="s">
        <v>14</v>
      </c>
      <c r="J355" s="1" t="s">
        <v>511</v>
      </c>
      <c r="L355" s="34">
        <v>0.28399999999999997</v>
      </c>
      <c r="M355" s="35"/>
      <c r="N355" s="35"/>
      <c r="O355" s="35"/>
      <c r="P355" s="35"/>
      <c r="Q355" s="35"/>
      <c r="R355" s="41">
        <v>886.35</v>
      </c>
      <c r="S355" s="35"/>
      <c r="T355" s="35"/>
      <c r="U355" s="35"/>
    </row>
    <row r="356" spans="1:21" ht="63.75" x14ac:dyDescent="0.2">
      <c r="A356" s="1" t="s">
        <v>19</v>
      </c>
      <c r="B356" s="2" t="s">
        <v>16</v>
      </c>
      <c r="C356" s="2" t="s">
        <v>20</v>
      </c>
      <c r="D356" s="2" t="s">
        <v>21</v>
      </c>
      <c r="E356" s="2">
        <v>2020</v>
      </c>
      <c r="F356" s="2" t="s">
        <v>188</v>
      </c>
      <c r="G356" s="2" t="s">
        <v>1667</v>
      </c>
      <c r="H356" s="2" t="s">
        <v>1669</v>
      </c>
      <c r="I356" s="1" t="s">
        <v>14</v>
      </c>
      <c r="J356" s="1" t="s">
        <v>579</v>
      </c>
      <c r="L356" s="34">
        <v>0.30299999999999999</v>
      </c>
      <c r="M356" s="35"/>
      <c r="N356" s="35"/>
      <c r="O356" s="35"/>
      <c r="P356" s="35"/>
      <c r="Q356" s="35"/>
      <c r="R356" s="15">
        <v>411</v>
      </c>
      <c r="S356" s="35"/>
      <c r="T356" s="35"/>
      <c r="U356" s="35"/>
    </row>
    <row r="357" spans="1:21" ht="63.75" x14ac:dyDescent="0.2">
      <c r="A357" s="1" t="s">
        <v>19</v>
      </c>
      <c r="B357" s="2" t="s">
        <v>16</v>
      </c>
      <c r="C357" s="2" t="s">
        <v>20</v>
      </c>
      <c r="D357" s="2" t="s">
        <v>21</v>
      </c>
      <c r="E357" s="2">
        <v>2020</v>
      </c>
      <c r="F357" s="2" t="s">
        <v>203</v>
      </c>
      <c r="G357" s="2" t="s">
        <v>1667</v>
      </c>
      <c r="H357" s="2" t="s">
        <v>1669</v>
      </c>
      <c r="I357" s="1" t="s">
        <v>14</v>
      </c>
      <c r="J357" s="1" t="s">
        <v>640</v>
      </c>
      <c r="L357" s="34">
        <v>0.312</v>
      </c>
      <c r="M357" s="35"/>
      <c r="N357" s="35"/>
      <c r="O357" s="35"/>
      <c r="P357" s="35"/>
      <c r="Q357" s="35"/>
      <c r="R357" s="15">
        <v>1857.6</v>
      </c>
      <c r="S357" s="35"/>
      <c r="T357" s="35"/>
      <c r="U357" s="35"/>
    </row>
    <row r="358" spans="1:21" ht="63.75" x14ac:dyDescent="0.2">
      <c r="A358" s="1" t="s">
        <v>19</v>
      </c>
      <c r="B358" s="2" t="s">
        <v>16</v>
      </c>
      <c r="C358" s="2" t="s">
        <v>20</v>
      </c>
      <c r="D358" s="2" t="s">
        <v>21</v>
      </c>
      <c r="E358" s="2">
        <v>2020</v>
      </c>
      <c r="F358" s="2" t="s">
        <v>211</v>
      </c>
      <c r="G358" s="2" t="s">
        <v>1667</v>
      </c>
      <c r="H358" s="2" t="s">
        <v>1669</v>
      </c>
      <c r="I358" s="1" t="s">
        <v>14</v>
      </c>
      <c r="J358" s="1" t="s">
        <v>710</v>
      </c>
      <c r="L358" s="34">
        <v>0.30099999999999999</v>
      </c>
      <c r="M358" s="35"/>
      <c r="N358" s="35"/>
      <c r="O358" s="35"/>
      <c r="P358" s="35"/>
      <c r="Q358" s="35"/>
      <c r="R358" s="15">
        <v>349.3</v>
      </c>
      <c r="S358" s="35"/>
      <c r="T358" s="35"/>
      <c r="U358" s="35"/>
    </row>
    <row r="359" spans="1:21" ht="63.75" x14ac:dyDescent="0.2">
      <c r="A359" s="1" t="s">
        <v>19</v>
      </c>
      <c r="B359" s="2" t="s">
        <v>16</v>
      </c>
      <c r="C359" s="2" t="s">
        <v>20</v>
      </c>
      <c r="D359" s="2" t="s">
        <v>21</v>
      </c>
      <c r="E359" s="2">
        <v>2020</v>
      </c>
      <c r="F359" s="2" t="s">
        <v>221</v>
      </c>
      <c r="G359" s="2" t="s">
        <v>1667</v>
      </c>
      <c r="H359" s="2" t="s">
        <v>1669</v>
      </c>
      <c r="I359" s="1" t="s">
        <v>14</v>
      </c>
      <c r="J359" s="1" t="s">
        <v>794</v>
      </c>
      <c r="L359" s="34">
        <v>0.28799999999999998</v>
      </c>
      <c r="M359" s="35"/>
      <c r="N359" s="35"/>
      <c r="O359" s="35"/>
      <c r="P359" s="35"/>
      <c r="Q359" s="35"/>
      <c r="R359" s="15">
        <v>696.3</v>
      </c>
      <c r="S359" s="35"/>
      <c r="T359" s="35"/>
      <c r="U359" s="35"/>
    </row>
    <row r="360" spans="1:21" ht="76.5" x14ac:dyDescent="0.2">
      <c r="A360" s="1" t="s">
        <v>19</v>
      </c>
      <c r="B360" s="2" t="s">
        <v>16</v>
      </c>
      <c r="C360" s="2" t="s">
        <v>20</v>
      </c>
      <c r="D360" s="2" t="s">
        <v>21</v>
      </c>
      <c r="E360" s="2">
        <v>2020</v>
      </c>
      <c r="F360" s="2" t="s">
        <v>256</v>
      </c>
      <c r="G360" s="2" t="s">
        <v>1667</v>
      </c>
      <c r="H360" s="2" t="s">
        <v>1669</v>
      </c>
      <c r="I360" s="1" t="s">
        <v>14</v>
      </c>
      <c r="J360" s="1" t="s">
        <v>930</v>
      </c>
      <c r="L360" s="34">
        <v>0.29099999999999998</v>
      </c>
      <c r="M360" s="35"/>
      <c r="N360" s="35"/>
      <c r="O360" s="35"/>
      <c r="P360" s="35"/>
      <c r="Q360" s="35"/>
      <c r="R360" s="15">
        <v>1256.2</v>
      </c>
      <c r="S360" s="14"/>
      <c r="T360" s="35"/>
      <c r="U360" s="35"/>
    </row>
    <row r="361" spans="1:21" ht="76.5" x14ac:dyDescent="0.2">
      <c r="A361" s="1" t="s">
        <v>19</v>
      </c>
      <c r="B361" s="2" t="s">
        <v>16</v>
      </c>
      <c r="C361" s="2" t="s">
        <v>20</v>
      </c>
      <c r="D361" s="2" t="s">
        <v>21</v>
      </c>
      <c r="E361" s="2">
        <v>2020</v>
      </c>
      <c r="F361" s="2" t="s">
        <v>276</v>
      </c>
      <c r="G361" s="2" t="s">
        <v>1667</v>
      </c>
      <c r="H361" s="2" t="s">
        <v>1669</v>
      </c>
      <c r="I361" s="1" t="s">
        <v>14</v>
      </c>
      <c r="J361" s="1" t="s">
        <v>1025</v>
      </c>
      <c r="L361" s="34">
        <v>0.27200000000000002</v>
      </c>
      <c r="M361" s="35"/>
      <c r="N361" s="35"/>
      <c r="O361" s="35"/>
      <c r="P361" s="35"/>
      <c r="Q361" s="35"/>
      <c r="R361" s="15">
        <v>1160.9000000000001</v>
      </c>
      <c r="S361" s="14"/>
      <c r="T361" s="35"/>
      <c r="U361" s="35"/>
    </row>
    <row r="362" spans="1:21" ht="63.75" x14ac:dyDescent="0.2">
      <c r="A362" s="1" t="s">
        <v>19</v>
      </c>
      <c r="B362" s="2" t="s">
        <v>16</v>
      </c>
      <c r="C362" s="2" t="s">
        <v>20</v>
      </c>
      <c r="D362" s="2" t="s">
        <v>21</v>
      </c>
      <c r="E362" s="2">
        <v>2020</v>
      </c>
      <c r="F362" s="2" t="s">
        <v>291</v>
      </c>
      <c r="G362" s="2" t="s">
        <v>1667</v>
      </c>
      <c r="H362" s="2" t="s">
        <v>1669</v>
      </c>
      <c r="I362" s="1" t="s">
        <v>14</v>
      </c>
      <c r="J362" s="1" t="s">
        <v>1166</v>
      </c>
      <c r="L362" s="34">
        <v>0.26500000000000001</v>
      </c>
      <c r="M362" s="35"/>
      <c r="N362" s="35"/>
      <c r="O362" s="35"/>
      <c r="P362" s="35"/>
      <c r="Q362" s="35"/>
      <c r="R362" s="15">
        <v>979.3</v>
      </c>
      <c r="S362" s="14"/>
      <c r="T362" s="35"/>
      <c r="U362" s="35"/>
    </row>
    <row r="363" spans="1:21" ht="63.75" x14ac:dyDescent="0.2">
      <c r="A363" s="1" t="s">
        <v>19</v>
      </c>
      <c r="B363" s="2" t="s">
        <v>16</v>
      </c>
      <c r="C363" s="2" t="s">
        <v>20</v>
      </c>
      <c r="D363" s="2" t="s">
        <v>21</v>
      </c>
      <c r="E363" s="2">
        <v>2020</v>
      </c>
      <c r="F363" s="2" t="s">
        <v>311</v>
      </c>
      <c r="G363" s="2" t="s">
        <v>1667</v>
      </c>
      <c r="H363" s="2" t="s">
        <v>1669</v>
      </c>
      <c r="I363" s="1" t="s">
        <v>14</v>
      </c>
      <c r="J363" s="1" t="s">
        <v>1304</v>
      </c>
      <c r="L363" s="34">
        <v>0.28399999999999997</v>
      </c>
      <c r="M363" s="35"/>
      <c r="N363" s="35"/>
      <c r="O363" s="35"/>
      <c r="P363" s="35"/>
      <c r="Q363" s="35"/>
      <c r="R363" s="15">
        <v>1961</v>
      </c>
      <c r="S363" s="14"/>
      <c r="T363" s="35"/>
      <c r="U363" s="35"/>
    </row>
    <row r="364" spans="1:21" ht="63.75" x14ac:dyDescent="0.2">
      <c r="A364" s="1" t="s">
        <v>19</v>
      </c>
      <c r="B364" s="2" t="s">
        <v>16</v>
      </c>
      <c r="C364" s="2" t="s">
        <v>20</v>
      </c>
      <c r="D364" s="2" t="s">
        <v>21</v>
      </c>
      <c r="E364" s="2">
        <v>2020</v>
      </c>
      <c r="F364" s="2" t="s">
        <v>337</v>
      </c>
      <c r="G364" s="2" t="s">
        <v>1667</v>
      </c>
      <c r="H364" s="2" t="s">
        <v>1669</v>
      </c>
      <c r="I364" s="1" t="s">
        <v>14</v>
      </c>
      <c r="J364" s="1" t="s">
        <v>1359</v>
      </c>
      <c r="L364" s="34">
        <v>0.28699999999999998</v>
      </c>
      <c r="M364" s="35"/>
      <c r="N364" s="35"/>
      <c r="O364" s="35"/>
      <c r="P364" s="35"/>
      <c r="Q364" s="35"/>
      <c r="R364" s="15">
        <v>1373.6</v>
      </c>
      <c r="S364" s="14"/>
      <c r="T364" s="35"/>
      <c r="U364" s="35"/>
    </row>
    <row r="365" spans="1:21" ht="76.5" x14ac:dyDescent="0.2">
      <c r="A365" s="1" t="s">
        <v>19</v>
      </c>
      <c r="B365" s="2" t="s">
        <v>16</v>
      </c>
      <c r="C365" s="2" t="s">
        <v>20</v>
      </c>
      <c r="D365" s="2" t="s">
        <v>21</v>
      </c>
      <c r="E365" s="2">
        <v>2020</v>
      </c>
      <c r="F365" s="2" t="s">
        <v>364</v>
      </c>
      <c r="G365" s="2" t="s">
        <v>1667</v>
      </c>
      <c r="H365" s="2" t="s">
        <v>1669</v>
      </c>
      <c r="I365" s="1" t="s">
        <v>14</v>
      </c>
      <c r="J365" s="1" t="s">
        <v>1494</v>
      </c>
      <c r="L365" s="34">
        <v>0.27300000000000002</v>
      </c>
      <c r="M365" s="35"/>
      <c r="N365" s="35"/>
      <c r="O365" s="35"/>
      <c r="P365" s="35"/>
      <c r="Q365" s="35"/>
      <c r="R365" s="15">
        <v>927.2</v>
      </c>
      <c r="S365" s="14"/>
      <c r="T365" s="35"/>
      <c r="U365" s="35"/>
    </row>
    <row r="366" spans="1:21" ht="89.25" x14ac:dyDescent="0.2">
      <c r="A366" s="1" t="s">
        <v>19</v>
      </c>
      <c r="B366" s="2" t="s">
        <v>16</v>
      </c>
      <c r="C366" s="2" t="s">
        <v>20</v>
      </c>
      <c r="D366" s="2" t="s">
        <v>21</v>
      </c>
      <c r="E366" s="2">
        <v>2020</v>
      </c>
      <c r="F366" s="2" t="s">
        <v>388</v>
      </c>
      <c r="G366" s="2" t="s">
        <v>1667</v>
      </c>
      <c r="H366" s="2" t="s">
        <v>1669</v>
      </c>
      <c r="I366" s="1" t="s">
        <v>14</v>
      </c>
      <c r="J366" s="1" t="s">
        <v>1610</v>
      </c>
      <c r="L366" s="34">
        <v>0.28100000000000003</v>
      </c>
      <c r="M366" s="35"/>
      <c r="N366" s="35"/>
      <c r="O366" s="35"/>
      <c r="P366" s="35"/>
      <c r="Q366" s="35"/>
      <c r="R366" s="41">
        <v>422.3</v>
      </c>
      <c r="S366" s="35"/>
      <c r="T366" s="35"/>
      <c r="U366" s="35"/>
    </row>
    <row r="367" spans="1:21" ht="63.75" x14ac:dyDescent="0.2">
      <c r="A367" s="1" t="s">
        <v>23</v>
      </c>
      <c r="B367" s="2" t="s">
        <v>24</v>
      </c>
      <c r="C367" s="2" t="s">
        <v>20</v>
      </c>
      <c r="D367" s="2" t="s">
        <v>21</v>
      </c>
      <c r="E367" s="2">
        <v>2020</v>
      </c>
      <c r="F367" s="2" t="s">
        <v>13</v>
      </c>
      <c r="G367" s="2" t="s">
        <v>1667</v>
      </c>
      <c r="H367" s="2" t="s">
        <v>1669</v>
      </c>
      <c r="I367" s="1" t="s">
        <v>14</v>
      </c>
      <c r="J367" s="1" t="s">
        <v>510</v>
      </c>
      <c r="L367" s="34">
        <v>0.31</v>
      </c>
      <c r="M367" s="35"/>
      <c r="N367" s="35"/>
      <c r="O367" s="35"/>
      <c r="P367" s="35"/>
      <c r="Q367" s="35"/>
      <c r="R367" s="35">
        <v>618.07000000000005</v>
      </c>
      <c r="S367" s="35"/>
      <c r="T367" s="35"/>
      <c r="U367" s="35"/>
    </row>
    <row r="368" spans="1:21" ht="63.75" x14ac:dyDescent="0.2">
      <c r="A368" s="1" t="s">
        <v>23</v>
      </c>
      <c r="B368" s="2" t="s">
        <v>24</v>
      </c>
      <c r="C368" s="2" t="s">
        <v>20</v>
      </c>
      <c r="D368" s="2" t="s">
        <v>21</v>
      </c>
      <c r="E368" s="2">
        <v>2020</v>
      </c>
      <c r="F368" s="2" t="s">
        <v>188</v>
      </c>
      <c r="G368" s="2" t="s">
        <v>1667</v>
      </c>
      <c r="H368" s="2" t="s">
        <v>1669</v>
      </c>
      <c r="I368" s="1" t="s">
        <v>14</v>
      </c>
      <c r="J368" s="1" t="s">
        <v>575</v>
      </c>
      <c r="L368" s="34">
        <v>0.28799999999999998</v>
      </c>
      <c r="M368" s="35"/>
      <c r="N368" s="35"/>
      <c r="O368" s="35"/>
      <c r="P368" s="35"/>
      <c r="Q368" s="35"/>
      <c r="R368" s="39">
        <v>503.1</v>
      </c>
      <c r="S368" s="35"/>
      <c r="T368" s="35"/>
      <c r="U368" s="35"/>
    </row>
    <row r="369" spans="1:22" ht="51" x14ac:dyDescent="0.2">
      <c r="A369" s="1" t="s">
        <v>23</v>
      </c>
      <c r="B369" s="2" t="s">
        <v>24</v>
      </c>
      <c r="C369" s="2" t="s">
        <v>20</v>
      </c>
      <c r="D369" s="2" t="s">
        <v>21</v>
      </c>
      <c r="E369" s="2">
        <v>2020</v>
      </c>
      <c r="F369" s="2" t="s">
        <v>203</v>
      </c>
      <c r="G369" s="2" t="s">
        <v>1667</v>
      </c>
      <c r="H369" s="2" t="s">
        <v>1669</v>
      </c>
      <c r="I369" s="1" t="s">
        <v>14</v>
      </c>
      <c r="J369" s="1" t="s">
        <v>650</v>
      </c>
      <c r="L369" s="34">
        <v>0.27400000000000002</v>
      </c>
      <c r="M369" s="35"/>
      <c r="N369" s="35"/>
      <c r="O369" s="35"/>
      <c r="P369" s="35"/>
      <c r="Q369" s="35"/>
      <c r="R369" s="39">
        <v>572.1</v>
      </c>
      <c r="S369" s="35"/>
      <c r="T369" s="35"/>
      <c r="U369" s="35"/>
    </row>
    <row r="370" spans="1:22" ht="38.25" x14ac:dyDescent="0.2">
      <c r="A370" s="1" t="s">
        <v>23</v>
      </c>
      <c r="B370" s="2" t="s">
        <v>24</v>
      </c>
      <c r="C370" s="2" t="s">
        <v>20</v>
      </c>
      <c r="D370" s="2" t="s">
        <v>21</v>
      </c>
      <c r="E370" s="2">
        <v>2020</v>
      </c>
      <c r="F370" s="2" t="s">
        <v>211</v>
      </c>
      <c r="G370" s="2" t="s">
        <v>1667</v>
      </c>
      <c r="H370" s="2" t="s">
        <v>1669</v>
      </c>
      <c r="I370" s="1" t="s">
        <v>14</v>
      </c>
      <c r="J370" s="1" t="s">
        <v>714</v>
      </c>
      <c r="L370" s="34">
        <v>0.318</v>
      </c>
      <c r="M370" s="35"/>
      <c r="N370" s="35"/>
      <c r="O370" s="35"/>
      <c r="P370" s="35"/>
      <c r="Q370" s="35"/>
      <c r="R370" s="39">
        <v>643.91</v>
      </c>
      <c r="S370" s="35"/>
      <c r="T370" s="35"/>
      <c r="U370" s="35"/>
    </row>
    <row r="371" spans="1:22" ht="63.75" x14ac:dyDescent="0.2">
      <c r="A371" s="1" t="s">
        <v>23</v>
      </c>
      <c r="B371" s="2" t="s">
        <v>24</v>
      </c>
      <c r="C371" s="2" t="s">
        <v>20</v>
      </c>
      <c r="D371" s="2" t="s">
        <v>21</v>
      </c>
      <c r="E371" s="2">
        <v>2020</v>
      </c>
      <c r="F371" s="2" t="s">
        <v>221</v>
      </c>
      <c r="G371" s="2" t="s">
        <v>1667</v>
      </c>
      <c r="H371" s="2" t="s">
        <v>1669</v>
      </c>
      <c r="I371" s="1" t="s">
        <v>14</v>
      </c>
      <c r="J371" s="1" t="s">
        <v>825</v>
      </c>
      <c r="L371" s="34">
        <v>0.29699999999999999</v>
      </c>
      <c r="M371" s="35"/>
      <c r="N371" s="35"/>
      <c r="O371" s="35"/>
      <c r="P371" s="35"/>
      <c r="Q371" s="35"/>
      <c r="R371" s="39">
        <v>677.1</v>
      </c>
      <c r="S371" s="14"/>
      <c r="T371" s="35"/>
      <c r="U371" s="35"/>
    </row>
    <row r="372" spans="1:22" ht="38.25" x14ac:dyDescent="0.2">
      <c r="A372" s="1" t="s">
        <v>23</v>
      </c>
      <c r="B372" s="2" t="s">
        <v>24</v>
      </c>
      <c r="C372" s="2" t="s">
        <v>20</v>
      </c>
      <c r="D372" s="2" t="s">
        <v>21</v>
      </c>
      <c r="E372" s="2">
        <v>2020</v>
      </c>
      <c r="F372" s="2" t="s">
        <v>256</v>
      </c>
      <c r="G372" s="2" t="s">
        <v>1667</v>
      </c>
      <c r="H372" s="2" t="s">
        <v>1669</v>
      </c>
      <c r="I372" s="1" t="s">
        <v>14</v>
      </c>
      <c r="J372" s="1" t="s">
        <v>931</v>
      </c>
      <c r="L372" s="34">
        <v>0.28100000000000003</v>
      </c>
      <c r="M372" s="35"/>
      <c r="N372" s="35"/>
      <c r="O372" s="35"/>
      <c r="P372" s="35"/>
      <c r="Q372" s="35"/>
      <c r="R372" s="39">
        <v>773.8</v>
      </c>
      <c r="S372" s="14"/>
      <c r="T372" s="35"/>
      <c r="U372" s="35"/>
    </row>
    <row r="373" spans="1:22" ht="51" x14ac:dyDescent="0.2">
      <c r="A373" s="1" t="s">
        <v>23</v>
      </c>
      <c r="B373" s="2" t="s">
        <v>24</v>
      </c>
      <c r="C373" s="2" t="s">
        <v>20</v>
      </c>
      <c r="D373" s="2" t="s">
        <v>21</v>
      </c>
      <c r="E373" s="2">
        <v>2020</v>
      </c>
      <c r="F373" s="2" t="s">
        <v>276</v>
      </c>
      <c r="G373" s="2" t="s">
        <v>1667</v>
      </c>
      <c r="H373" s="2" t="s">
        <v>1669</v>
      </c>
      <c r="I373" s="1" t="s">
        <v>14</v>
      </c>
      <c r="J373" s="1" t="s">
        <v>1033</v>
      </c>
      <c r="L373" s="34">
        <v>0.307</v>
      </c>
      <c r="M373" s="35"/>
      <c r="N373" s="35"/>
      <c r="O373" s="35"/>
      <c r="P373" s="35"/>
      <c r="Q373" s="35"/>
      <c r="R373" s="39">
        <v>682.14</v>
      </c>
      <c r="S373" s="14"/>
      <c r="T373" s="35"/>
      <c r="U373" s="35"/>
    </row>
    <row r="374" spans="1:22" ht="38.25" x14ac:dyDescent="0.2">
      <c r="A374" s="1" t="s">
        <v>23</v>
      </c>
      <c r="B374" s="2" t="s">
        <v>24</v>
      </c>
      <c r="C374" s="2" t="s">
        <v>20</v>
      </c>
      <c r="D374" s="2" t="s">
        <v>21</v>
      </c>
      <c r="E374" s="2">
        <v>2020</v>
      </c>
      <c r="F374" s="2" t="s">
        <v>291</v>
      </c>
      <c r="G374" s="2" t="s">
        <v>1667</v>
      </c>
      <c r="H374" s="2" t="s">
        <v>1669</v>
      </c>
      <c r="I374" s="1" t="s">
        <v>14</v>
      </c>
      <c r="J374" s="1" t="s">
        <v>1167</v>
      </c>
      <c r="L374" s="34">
        <v>0.30199999999999999</v>
      </c>
      <c r="M374" s="35"/>
      <c r="N374" s="35"/>
      <c r="O374" s="35"/>
      <c r="P374" s="35"/>
      <c r="Q374" s="35"/>
      <c r="R374" s="39">
        <v>605.9</v>
      </c>
      <c r="S374" s="14"/>
      <c r="T374" s="35"/>
      <c r="U374" s="35"/>
    </row>
    <row r="375" spans="1:22" ht="51" x14ac:dyDescent="0.2">
      <c r="A375" s="1" t="s">
        <v>23</v>
      </c>
      <c r="B375" s="2" t="s">
        <v>24</v>
      </c>
      <c r="C375" s="2" t="s">
        <v>20</v>
      </c>
      <c r="D375" s="2" t="s">
        <v>21</v>
      </c>
      <c r="E375" s="2">
        <v>2020</v>
      </c>
      <c r="F375" s="2" t="s">
        <v>311</v>
      </c>
      <c r="G375" s="2" t="s">
        <v>1667</v>
      </c>
      <c r="H375" s="2" t="s">
        <v>1669</v>
      </c>
      <c r="I375" s="1" t="s">
        <v>14</v>
      </c>
      <c r="J375" s="1" t="s">
        <v>1307</v>
      </c>
      <c r="L375" s="34">
        <v>0.317</v>
      </c>
      <c r="M375" s="35"/>
      <c r="N375" s="35"/>
      <c r="O375" s="35"/>
      <c r="P375" s="35"/>
      <c r="Q375" s="35"/>
      <c r="R375" s="39">
        <v>589.29999999999995</v>
      </c>
      <c r="S375" s="14"/>
      <c r="T375" s="35"/>
      <c r="U375" s="35"/>
    </row>
    <row r="376" spans="1:22" ht="63.75" x14ac:dyDescent="0.2">
      <c r="A376" s="1" t="s">
        <v>23</v>
      </c>
      <c r="B376" s="2" t="s">
        <v>24</v>
      </c>
      <c r="C376" s="2" t="s">
        <v>20</v>
      </c>
      <c r="D376" s="2" t="s">
        <v>21</v>
      </c>
      <c r="E376" s="2">
        <v>2020</v>
      </c>
      <c r="F376" s="2" t="s">
        <v>337</v>
      </c>
      <c r="G376" s="2" t="s">
        <v>1667</v>
      </c>
      <c r="H376" s="2" t="s">
        <v>1669</v>
      </c>
      <c r="I376" s="1" t="s">
        <v>14</v>
      </c>
      <c r="J376" s="1" t="s">
        <v>1444</v>
      </c>
      <c r="L376" s="34">
        <v>0.29499999999999998</v>
      </c>
      <c r="M376" s="35"/>
      <c r="N376" s="35"/>
      <c r="O376" s="35"/>
      <c r="P376" s="35"/>
      <c r="Q376" s="35"/>
      <c r="R376" s="39">
        <v>612</v>
      </c>
      <c r="S376" s="14"/>
      <c r="T376" s="35"/>
      <c r="U376" s="35"/>
    </row>
    <row r="377" spans="1:22" ht="38.25" x14ac:dyDescent="0.2">
      <c r="A377" s="1" t="s">
        <v>23</v>
      </c>
      <c r="B377" s="2" t="s">
        <v>24</v>
      </c>
      <c r="C377" s="2" t="s">
        <v>20</v>
      </c>
      <c r="D377" s="2" t="s">
        <v>21</v>
      </c>
      <c r="E377" s="2">
        <v>2020</v>
      </c>
      <c r="F377" s="2" t="s">
        <v>364</v>
      </c>
      <c r="G377" s="2" t="s">
        <v>1667</v>
      </c>
      <c r="H377" s="2" t="s">
        <v>1669</v>
      </c>
      <c r="I377" s="1" t="s">
        <v>14</v>
      </c>
      <c r="J377" s="1" t="s">
        <v>1583</v>
      </c>
      <c r="L377" s="34">
        <v>0.30199999999999999</v>
      </c>
      <c r="M377" s="35"/>
      <c r="N377" s="35"/>
      <c r="O377" s="35"/>
      <c r="P377" s="35"/>
      <c r="Q377" s="35"/>
      <c r="R377" s="39">
        <v>569.79999999999995</v>
      </c>
      <c r="S377" s="14"/>
      <c r="T377" s="35"/>
      <c r="U377" s="35"/>
    </row>
    <row r="378" spans="1:22" ht="38.25" x14ac:dyDescent="0.2">
      <c r="A378" s="1" t="s">
        <v>23</v>
      </c>
      <c r="B378" s="2" t="s">
        <v>24</v>
      </c>
      <c r="C378" s="2" t="s">
        <v>20</v>
      </c>
      <c r="D378" s="2" t="s">
        <v>21</v>
      </c>
      <c r="E378" s="2">
        <v>2020</v>
      </c>
      <c r="F378" s="2" t="s">
        <v>388</v>
      </c>
      <c r="G378" s="2" t="s">
        <v>1667</v>
      </c>
      <c r="H378" s="2" t="s">
        <v>1669</v>
      </c>
      <c r="I378" s="1" t="s">
        <v>14</v>
      </c>
      <c r="J378" s="1" t="s">
        <v>1609</v>
      </c>
      <c r="L378" s="34">
        <v>0.30199999999999999</v>
      </c>
      <c r="M378" s="35"/>
      <c r="N378" s="35"/>
      <c r="O378" s="35"/>
      <c r="P378" s="35"/>
      <c r="Q378" s="35"/>
      <c r="R378" s="41">
        <v>682.4</v>
      </c>
      <c r="S378" s="35"/>
      <c r="T378" s="35"/>
      <c r="U378" s="35"/>
    </row>
    <row r="379" spans="1:22" ht="76.5" x14ac:dyDescent="0.2">
      <c r="A379" s="1" t="s">
        <v>411</v>
      </c>
      <c r="B379" s="2" t="s">
        <v>196</v>
      </c>
      <c r="C379" s="2" t="s">
        <v>412</v>
      </c>
      <c r="D379" s="2" t="s">
        <v>61</v>
      </c>
      <c r="E379" s="2">
        <v>2020</v>
      </c>
      <c r="F379" s="2" t="s">
        <v>337</v>
      </c>
      <c r="G379" s="2" t="s">
        <v>1669</v>
      </c>
      <c r="H379" s="2" t="s">
        <v>1668</v>
      </c>
      <c r="I379" s="1" t="s">
        <v>1428</v>
      </c>
      <c r="J379" s="1" t="s">
        <v>14</v>
      </c>
      <c r="L379" s="5"/>
      <c r="M379" s="35"/>
      <c r="N379" s="35"/>
      <c r="O379" s="35"/>
      <c r="P379" s="35"/>
      <c r="Q379" s="35"/>
      <c r="R379" s="6"/>
      <c r="S379" s="6"/>
      <c r="T379" s="35"/>
      <c r="U379" s="35"/>
      <c r="V379" s="60" t="s">
        <v>1693</v>
      </c>
    </row>
    <row r="380" spans="1:22" ht="38.25" x14ac:dyDescent="0.2">
      <c r="A380" s="1" t="s">
        <v>168</v>
      </c>
      <c r="B380" s="2" t="s">
        <v>10</v>
      </c>
      <c r="C380" s="2" t="s">
        <v>169</v>
      </c>
      <c r="D380" s="2" t="s">
        <v>170</v>
      </c>
      <c r="E380" s="2">
        <v>2020</v>
      </c>
      <c r="F380" s="2" t="s">
        <v>13</v>
      </c>
      <c r="G380" s="2" t="s">
        <v>1667</v>
      </c>
      <c r="H380" s="2" t="s">
        <v>1669</v>
      </c>
      <c r="I380" s="1" t="s">
        <v>14</v>
      </c>
      <c r="J380" s="1" t="s">
        <v>548</v>
      </c>
      <c r="L380" s="34"/>
      <c r="M380" s="35"/>
      <c r="N380" s="35"/>
      <c r="O380" s="35"/>
      <c r="P380" s="35"/>
      <c r="Q380" s="35"/>
      <c r="R380" s="35"/>
      <c r="S380" s="35"/>
      <c r="T380" s="35"/>
      <c r="U380" s="35"/>
      <c r="V380" s="60" t="s">
        <v>1735</v>
      </c>
    </row>
    <row r="381" spans="1:22" ht="38.25" x14ac:dyDescent="0.2">
      <c r="A381" s="1" t="s">
        <v>168</v>
      </c>
      <c r="B381" s="2" t="s">
        <v>10</v>
      </c>
      <c r="C381" s="2" t="s">
        <v>169</v>
      </c>
      <c r="D381" s="2" t="s">
        <v>170</v>
      </c>
      <c r="E381" s="2">
        <v>2020</v>
      </c>
      <c r="F381" s="2" t="s">
        <v>188</v>
      </c>
      <c r="G381" s="2" t="s">
        <v>1667</v>
      </c>
      <c r="H381" s="2" t="s">
        <v>1669</v>
      </c>
      <c r="I381" s="1" t="s">
        <v>14</v>
      </c>
      <c r="J381" s="1" t="s">
        <v>449</v>
      </c>
      <c r="L381" s="34"/>
      <c r="M381" s="35"/>
      <c r="N381" s="35"/>
      <c r="O381" s="35"/>
      <c r="P381" s="35"/>
      <c r="Q381" s="35"/>
      <c r="R381" s="38"/>
      <c r="S381" s="35"/>
      <c r="T381" s="35"/>
      <c r="U381" s="35"/>
      <c r="V381" s="60" t="s">
        <v>1735</v>
      </c>
    </row>
    <row r="382" spans="1:22" ht="38.25" x14ac:dyDescent="0.2">
      <c r="A382" s="1" t="s">
        <v>168</v>
      </c>
      <c r="B382" s="2" t="s">
        <v>10</v>
      </c>
      <c r="C382" s="2" t="s">
        <v>169</v>
      </c>
      <c r="D382" s="2" t="s">
        <v>170</v>
      </c>
      <c r="E382" s="2">
        <v>2020</v>
      </c>
      <c r="F382" s="2" t="s">
        <v>203</v>
      </c>
      <c r="G382" s="2" t="s">
        <v>1667</v>
      </c>
      <c r="H382" s="2" t="s">
        <v>1669</v>
      </c>
      <c r="I382" s="1" t="s">
        <v>14</v>
      </c>
      <c r="J382" s="1" t="s">
        <v>449</v>
      </c>
      <c r="L382" s="34"/>
      <c r="M382" s="35"/>
      <c r="N382" s="35"/>
      <c r="O382" s="35"/>
      <c r="P382" s="35"/>
      <c r="Q382" s="35"/>
      <c r="R382" s="38"/>
      <c r="S382" s="35"/>
      <c r="T382" s="35"/>
      <c r="U382" s="35"/>
      <c r="V382" s="60" t="s">
        <v>1735</v>
      </c>
    </row>
    <row r="383" spans="1:22" ht="38.25" x14ac:dyDescent="0.2">
      <c r="A383" s="1" t="s">
        <v>168</v>
      </c>
      <c r="B383" s="2" t="s">
        <v>10</v>
      </c>
      <c r="C383" s="2" t="s">
        <v>169</v>
      </c>
      <c r="D383" s="2" t="s">
        <v>170</v>
      </c>
      <c r="E383" s="2">
        <v>2020</v>
      </c>
      <c r="F383" s="2" t="s">
        <v>211</v>
      </c>
      <c r="G383" s="2" t="s">
        <v>1667</v>
      </c>
      <c r="H383" s="2" t="s">
        <v>1669</v>
      </c>
      <c r="I383" s="1" t="s">
        <v>14</v>
      </c>
      <c r="J383" s="1" t="s">
        <v>720</v>
      </c>
      <c r="L383" s="34"/>
      <c r="M383" s="35"/>
      <c r="N383" s="35"/>
      <c r="O383" s="35"/>
      <c r="P383" s="35"/>
      <c r="Q383" s="35"/>
      <c r="R383" s="38"/>
      <c r="S383" s="35"/>
      <c r="T383" s="35"/>
      <c r="U383" s="35"/>
      <c r="V383" s="60" t="s">
        <v>1735</v>
      </c>
    </row>
    <row r="384" spans="1:22" ht="38.25" x14ac:dyDescent="0.2">
      <c r="A384" s="1" t="s">
        <v>168</v>
      </c>
      <c r="B384" s="2" t="s">
        <v>10</v>
      </c>
      <c r="C384" s="2" t="s">
        <v>169</v>
      </c>
      <c r="D384" s="2" t="s">
        <v>170</v>
      </c>
      <c r="E384" s="2">
        <v>2020</v>
      </c>
      <c r="F384" s="2" t="s">
        <v>221</v>
      </c>
      <c r="G384" s="2" t="s">
        <v>1667</v>
      </c>
      <c r="H384" s="2" t="s">
        <v>1669</v>
      </c>
      <c r="I384" s="1" t="s">
        <v>14</v>
      </c>
      <c r="J384" s="1" t="s">
        <v>479</v>
      </c>
      <c r="L384" s="34"/>
      <c r="M384" s="35"/>
      <c r="N384" s="35"/>
      <c r="O384" s="35"/>
      <c r="P384" s="35"/>
      <c r="Q384" s="35"/>
      <c r="R384" s="38"/>
      <c r="S384" s="14"/>
      <c r="T384" s="35"/>
      <c r="U384" s="35"/>
      <c r="V384" s="60" t="s">
        <v>1735</v>
      </c>
    </row>
    <row r="385" spans="1:22" ht="38.25" x14ac:dyDescent="0.2">
      <c r="A385" s="1" t="s">
        <v>168</v>
      </c>
      <c r="B385" s="2" t="s">
        <v>10</v>
      </c>
      <c r="C385" s="2" t="s">
        <v>169</v>
      </c>
      <c r="D385" s="2" t="s">
        <v>170</v>
      </c>
      <c r="E385" s="2">
        <v>2020</v>
      </c>
      <c r="F385" s="2" t="s">
        <v>256</v>
      </c>
      <c r="G385" s="2" t="s">
        <v>1667</v>
      </c>
      <c r="H385" s="2" t="s">
        <v>1669</v>
      </c>
      <c r="I385" s="1" t="s">
        <v>14</v>
      </c>
      <c r="J385" s="1" t="s">
        <v>479</v>
      </c>
      <c r="L385" s="34"/>
      <c r="M385" s="35"/>
      <c r="N385" s="35"/>
      <c r="O385" s="35"/>
      <c r="P385" s="35"/>
      <c r="Q385" s="35"/>
      <c r="R385" s="38"/>
      <c r="S385" s="14"/>
      <c r="T385" s="35"/>
      <c r="U385" s="35"/>
      <c r="V385" s="60" t="s">
        <v>1735</v>
      </c>
    </row>
    <row r="386" spans="1:22" ht="38.25" x14ac:dyDescent="0.2">
      <c r="A386" s="1" t="s">
        <v>168</v>
      </c>
      <c r="B386" s="2" t="s">
        <v>10</v>
      </c>
      <c r="C386" s="2" t="s">
        <v>169</v>
      </c>
      <c r="D386" s="2" t="s">
        <v>170</v>
      </c>
      <c r="E386" s="2">
        <v>2020</v>
      </c>
      <c r="F386" s="2" t="s">
        <v>276</v>
      </c>
      <c r="G386" s="2" t="s">
        <v>1667</v>
      </c>
      <c r="H386" s="2" t="s">
        <v>1669</v>
      </c>
      <c r="I386" s="1" t="s">
        <v>14</v>
      </c>
      <c r="J386" s="1" t="s">
        <v>1060</v>
      </c>
      <c r="L386" s="34"/>
      <c r="M386" s="35"/>
      <c r="N386" s="35"/>
      <c r="O386" s="35"/>
      <c r="P386" s="35"/>
      <c r="Q386" s="35"/>
      <c r="R386" s="38"/>
      <c r="S386" s="14"/>
      <c r="T386" s="35"/>
      <c r="U386" s="35"/>
      <c r="V386" s="60" t="s">
        <v>1735</v>
      </c>
    </row>
    <row r="387" spans="1:22" ht="38.25" x14ac:dyDescent="0.2">
      <c r="A387" s="1" t="s">
        <v>168</v>
      </c>
      <c r="B387" s="2" t="s">
        <v>10</v>
      </c>
      <c r="C387" s="2" t="s">
        <v>169</v>
      </c>
      <c r="D387" s="2" t="s">
        <v>170</v>
      </c>
      <c r="E387" s="2">
        <v>2020</v>
      </c>
      <c r="F387" s="2" t="s">
        <v>291</v>
      </c>
      <c r="G387" s="2" t="s">
        <v>1667</v>
      </c>
      <c r="H387" s="2" t="s">
        <v>1669</v>
      </c>
      <c r="I387" s="1" t="s">
        <v>14</v>
      </c>
      <c r="J387" s="1" t="s">
        <v>1138</v>
      </c>
      <c r="L387" s="34"/>
      <c r="M387" s="35"/>
      <c r="N387" s="35"/>
      <c r="O387" s="35"/>
      <c r="P387" s="35"/>
      <c r="Q387" s="35"/>
      <c r="R387" s="38"/>
      <c r="S387" s="14"/>
      <c r="T387" s="35"/>
      <c r="U387" s="35"/>
      <c r="V387" s="60" t="s">
        <v>1735</v>
      </c>
    </row>
    <row r="388" spans="1:22" ht="38.25" x14ac:dyDescent="0.2">
      <c r="A388" s="1" t="s">
        <v>168</v>
      </c>
      <c r="B388" s="2" t="s">
        <v>10</v>
      </c>
      <c r="C388" s="2" t="s">
        <v>169</v>
      </c>
      <c r="D388" s="2" t="s">
        <v>170</v>
      </c>
      <c r="E388" s="2">
        <v>2020</v>
      </c>
      <c r="F388" s="2" t="s">
        <v>311</v>
      </c>
      <c r="G388" s="2" t="s">
        <v>1667</v>
      </c>
      <c r="H388" s="2" t="s">
        <v>1669</v>
      </c>
      <c r="I388" s="1" t="s">
        <v>14</v>
      </c>
      <c r="J388" s="1" t="s">
        <v>1322</v>
      </c>
      <c r="L388" s="34"/>
      <c r="M388" s="35"/>
      <c r="N388" s="35"/>
      <c r="O388" s="35"/>
      <c r="P388" s="35"/>
      <c r="Q388" s="35"/>
      <c r="R388" s="38"/>
      <c r="S388" s="14"/>
      <c r="T388" s="35"/>
      <c r="U388" s="35"/>
      <c r="V388" s="60" t="s">
        <v>1735</v>
      </c>
    </row>
    <row r="389" spans="1:22" ht="38.25" x14ac:dyDescent="0.2">
      <c r="A389" s="1" t="s">
        <v>168</v>
      </c>
      <c r="B389" s="2" t="s">
        <v>10</v>
      </c>
      <c r="C389" s="2" t="s">
        <v>169</v>
      </c>
      <c r="D389" s="2" t="s">
        <v>170</v>
      </c>
      <c r="E389" s="2">
        <v>2020</v>
      </c>
      <c r="F389" s="2" t="s">
        <v>337</v>
      </c>
      <c r="G389" s="2" t="s">
        <v>1667</v>
      </c>
      <c r="H389" s="2" t="s">
        <v>1669</v>
      </c>
      <c r="I389" s="1" t="s">
        <v>14</v>
      </c>
      <c r="J389" s="1" t="s">
        <v>1431</v>
      </c>
      <c r="L389" s="34"/>
      <c r="M389" s="35"/>
      <c r="N389" s="35"/>
      <c r="O389" s="35"/>
      <c r="P389" s="35"/>
      <c r="Q389" s="35"/>
      <c r="R389" s="38"/>
      <c r="S389" s="14"/>
      <c r="T389" s="35"/>
      <c r="U389" s="35"/>
      <c r="V389" s="60" t="s">
        <v>1735</v>
      </c>
    </row>
    <row r="390" spans="1:22" ht="38.25" x14ac:dyDescent="0.2">
      <c r="A390" s="1" t="s">
        <v>168</v>
      </c>
      <c r="B390" s="2" t="s">
        <v>10</v>
      </c>
      <c r="C390" s="2" t="s">
        <v>169</v>
      </c>
      <c r="D390" s="2" t="s">
        <v>170</v>
      </c>
      <c r="E390" s="2">
        <v>2020</v>
      </c>
      <c r="F390" s="2" t="s">
        <v>364</v>
      </c>
      <c r="G390" s="2" t="s">
        <v>1667</v>
      </c>
      <c r="H390" s="2" t="s">
        <v>1669</v>
      </c>
      <c r="I390" s="1" t="s">
        <v>14</v>
      </c>
      <c r="J390" s="1" t="s">
        <v>1489</v>
      </c>
      <c r="L390" s="34"/>
      <c r="M390" s="35"/>
      <c r="N390" s="35"/>
      <c r="O390" s="35"/>
      <c r="P390" s="35"/>
      <c r="Q390" s="35"/>
      <c r="R390" s="38"/>
      <c r="S390" s="14"/>
      <c r="T390" s="35"/>
      <c r="U390" s="35"/>
      <c r="V390" s="60" t="s">
        <v>1735</v>
      </c>
    </row>
    <row r="391" spans="1:22" ht="38.25" x14ac:dyDescent="0.2">
      <c r="A391" s="1" t="s">
        <v>168</v>
      </c>
      <c r="B391" s="2" t="s">
        <v>10</v>
      </c>
      <c r="C391" s="2" t="s">
        <v>169</v>
      </c>
      <c r="D391" s="2" t="s">
        <v>170</v>
      </c>
      <c r="E391" s="2">
        <v>2020</v>
      </c>
      <c r="F391" s="2" t="s">
        <v>388</v>
      </c>
      <c r="G391" s="2" t="s">
        <v>1667</v>
      </c>
      <c r="H391" s="2" t="s">
        <v>1669</v>
      </c>
      <c r="I391" s="1" t="s">
        <v>14</v>
      </c>
      <c r="J391" s="1" t="s">
        <v>1658</v>
      </c>
      <c r="L391" s="34"/>
      <c r="M391" s="35"/>
      <c r="N391" s="35"/>
      <c r="O391" s="35"/>
      <c r="P391" s="35"/>
      <c r="Q391" s="35"/>
      <c r="R391" s="37"/>
      <c r="S391" s="35"/>
      <c r="T391" s="35"/>
      <c r="U391" s="35"/>
      <c r="V391" s="60" t="s">
        <v>1735</v>
      </c>
    </row>
    <row r="392" spans="1:22" ht="63.75" x14ac:dyDescent="0.2">
      <c r="A392" s="1" t="s">
        <v>445</v>
      </c>
      <c r="B392" s="2" t="s">
        <v>196</v>
      </c>
      <c r="C392" s="2" t="s">
        <v>30</v>
      </c>
      <c r="D392" s="2" t="s">
        <v>31</v>
      </c>
      <c r="E392" s="2">
        <v>2020</v>
      </c>
      <c r="F392" s="2" t="s">
        <v>364</v>
      </c>
      <c r="G392" s="2" t="s">
        <v>1669</v>
      </c>
      <c r="H392" s="2" t="s">
        <v>1668</v>
      </c>
      <c r="I392" s="1" t="s">
        <v>1569</v>
      </c>
      <c r="J392" s="1" t="s">
        <v>14</v>
      </c>
      <c r="L392" s="34"/>
      <c r="M392" s="35"/>
      <c r="N392" s="35"/>
      <c r="O392" s="35"/>
      <c r="P392" s="35"/>
      <c r="Q392" s="35"/>
      <c r="R392" s="14"/>
      <c r="S392" s="14"/>
      <c r="T392" s="35"/>
      <c r="U392" s="35"/>
      <c r="V392" s="60" t="s">
        <v>1693</v>
      </c>
    </row>
    <row r="393" spans="1:22" ht="51" x14ac:dyDescent="0.2">
      <c r="A393" s="1" t="s">
        <v>28</v>
      </c>
      <c r="B393" s="2" t="s">
        <v>29</v>
      </c>
      <c r="C393" s="2" t="s">
        <v>30</v>
      </c>
      <c r="D393" s="2" t="s">
        <v>31</v>
      </c>
      <c r="E393" s="2">
        <v>2020</v>
      </c>
      <c r="F393" s="2" t="s">
        <v>13</v>
      </c>
      <c r="G393" s="2" t="s">
        <v>1667</v>
      </c>
      <c r="H393" s="2" t="s">
        <v>1669</v>
      </c>
      <c r="I393" s="1" t="s">
        <v>14</v>
      </c>
      <c r="J393" s="1" t="s">
        <v>512</v>
      </c>
      <c r="L393" s="5">
        <v>0.191</v>
      </c>
      <c r="M393" s="35"/>
      <c r="N393" s="35">
        <v>572.85</v>
      </c>
      <c r="O393" s="35"/>
      <c r="P393" s="35"/>
      <c r="Q393" s="35"/>
      <c r="R393" s="35"/>
      <c r="S393" s="35"/>
      <c r="T393" s="35"/>
      <c r="U393" s="35"/>
      <c r="V393" s="60" t="s">
        <v>1736</v>
      </c>
    </row>
    <row r="394" spans="1:22" ht="51" x14ac:dyDescent="0.2">
      <c r="A394" s="1" t="s">
        <v>28</v>
      </c>
      <c r="B394" s="2" t="s">
        <v>29</v>
      </c>
      <c r="C394" s="2" t="s">
        <v>30</v>
      </c>
      <c r="D394" s="2" t="s">
        <v>31</v>
      </c>
      <c r="E394" s="2">
        <v>2020</v>
      </c>
      <c r="F394" s="2" t="s">
        <v>188</v>
      </c>
      <c r="G394" s="2" t="s">
        <v>1667</v>
      </c>
      <c r="H394" s="2" t="s">
        <v>1669</v>
      </c>
      <c r="I394" s="1" t="s">
        <v>14</v>
      </c>
      <c r="J394" s="1" t="s">
        <v>591</v>
      </c>
      <c r="L394" s="34">
        <v>0.193</v>
      </c>
      <c r="M394" s="35"/>
      <c r="N394" s="35">
        <v>461.87</v>
      </c>
      <c r="O394" s="35"/>
      <c r="P394" s="35"/>
      <c r="Q394" s="35"/>
      <c r="R394" s="14"/>
      <c r="S394" s="35"/>
      <c r="T394" s="35"/>
      <c r="U394" s="35"/>
      <c r="V394" s="60" t="s">
        <v>1736</v>
      </c>
    </row>
    <row r="395" spans="1:22" ht="51" x14ac:dyDescent="0.2">
      <c r="A395" s="1" t="s">
        <v>28</v>
      </c>
      <c r="B395" s="2" t="s">
        <v>29</v>
      </c>
      <c r="C395" s="2" t="s">
        <v>30</v>
      </c>
      <c r="D395" s="2" t="s">
        <v>31</v>
      </c>
      <c r="E395" s="2">
        <v>2020</v>
      </c>
      <c r="F395" s="2" t="s">
        <v>203</v>
      </c>
      <c r="G395" s="2" t="s">
        <v>1667</v>
      </c>
      <c r="H395" s="2" t="s">
        <v>1669</v>
      </c>
      <c r="I395" s="1" t="s">
        <v>14</v>
      </c>
      <c r="J395" s="1" t="s">
        <v>619</v>
      </c>
      <c r="L395" s="34">
        <v>0.191</v>
      </c>
      <c r="M395" s="35"/>
      <c r="N395" s="35">
        <v>516.4</v>
      </c>
      <c r="O395" s="35"/>
      <c r="P395" s="35"/>
      <c r="Q395" s="35"/>
      <c r="R395" s="14"/>
      <c r="S395" s="35"/>
      <c r="T395" s="35"/>
      <c r="U395" s="35"/>
      <c r="V395" s="60" t="s">
        <v>1736</v>
      </c>
    </row>
    <row r="396" spans="1:22" ht="51" x14ac:dyDescent="0.2">
      <c r="A396" s="1" t="s">
        <v>28</v>
      </c>
      <c r="B396" s="2" t="s">
        <v>29</v>
      </c>
      <c r="C396" s="2" t="s">
        <v>30</v>
      </c>
      <c r="D396" s="2" t="s">
        <v>31</v>
      </c>
      <c r="E396" s="2">
        <v>2020</v>
      </c>
      <c r="F396" s="2" t="s">
        <v>211</v>
      </c>
      <c r="G396" s="2" t="s">
        <v>1667</v>
      </c>
      <c r="H396" s="2" t="s">
        <v>1669</v>
      </c>
      <c r="I396" s="1" t="s">
        <v>14</v>
      </c>
      <c r="J396" s="1" t="s">
        <v>730</v>
      </c>
      <c r="L396" s="34">
        <v>0.19800000000000001</v>
      </c>
      <c r="M396" s="35"/>
      <c r="N396" s="35">
        <v>499.5</v>
      </c>
      <c r="O396" s="35"/>
      <c r="P396" s="35"/>
      <c r="Q396" s="35"/>
      <c r="R396" s="14"/>
      <c r="S396" s="35"/>
      <c r="T396" s="35"/>
      <c r="U396" s="35"/>
      <c r="V396" s="60" t="s">
        <v>1736</v>
      </c>
    </row>
    <row r="397" spans="1:22" ht="51" x14ac:dyDescent="0.2">
      <c r="A397" s="1" t="s">
        <v>28</v>
      </c>
      <c r="B397" s="2" t="s">
        <v>29</v>
      </c>
      <c r="C397" s="2" t="s">
        <v>30</v>
      </c>
      <c r="D397" s="2" t="s">
        <v>31</v>
      </c>
      <c r="E397" s="2">
        <v>2020</v>
      </c>
      <c r="F397" s="2" t="s">
        <v>221</v>
      </c>
      <c r="G397" s="2" t="s">
        <v>1667</v>
      </c>
      <c r="H397" s="2" t="s">
        <v>1669</v>
      </c>
      <c r="I397" s="1" t="s">
        <v>14</v>
      </c>
      <c r="J397" s="1" t="s">
        <v>802</v>
      </c>
      <c r="L397" s="34">
        <v>0.17199999999999999</v>
      </c>
      <c r="M397" s="35"/>
      <c r="N397" s="35">
        <v>585.20000000000005</v>
      </c>
      <c r="O397" s="35"/>
      <c r="P397" s="35"/>
      <c r="Q397" s="35"/>
      <c r="R397" s="14"/>
      <c r="S397" s="35"/>
      <c r="T397" s="35"/>
      <c r="U397" s="35"/>
      <c r="V397" s="60" t="s">
        <v>1736</v>
      </c>
    </row>
    <row r="398" spans="1:22" ht="51" x14ac:dyDescent="0.2">
      <c r="A398" s="1" t="s">
        <v>28</v>
      </c>
      <c r="B398" s="2" t="s">
        <v>29</v>
      </c>
      <c r="C398" s="2" t="s">
        <v>30</v>
      </c>
      <c r="D398" s="2" t="s">
        <v>31</v>
      </c>
      <c r="E398" s="2">
        <v>2020</v>
      </c>
      <c r="F398" s="2" t="s">
        <v>256</v>
      </c>
      <c r="G398" s="2" t="s">
        <v>1667</v>
      </c>
      <c r="H398" s="2" t="s">
        <v>1669</v>
      </c>
      <c r="I398" s="1" t="s">
        <v>14</v>
      </c>
      <c r="J398" s="1" t="s">
        <v>895</v>
      </c>
      <c r="L398" s="34">
        <v>0.17</v>
      </c>
      <c r="M398" s="35"/>
      <c r="N398" s="35">
        <v>594.4</v>
      </c>
      <c r="O398" s="35"/>
      <c r="P398" s="35"/>
      <c r="Q398" s="35"/>
      <c r="R398" s="14"/>
      <c r="S398" s="14"/>
      <c r="T398" s="35"/>
      <c r="U398" s="35"/>
      <c r="V398" s="60" t="s">
        <v>1736</v>
      </c>
    </row>
    <row r="399" spans="1:22" ht="51" x14ac:dyDescent="0.2">
      <c r="A399" s="1" t="s">
        <v>28</v>
      </c>
      <c r="B399" s="2" t="s">
        <v>29</v>
      </c>
      <c r="C399" s="2" t="s">
        <v>30</v>
      </c>
      <c r="D399" s="2" t="s">
        <v>31</v>
      </c>
      <c r="E399" s="2">
        <v>2020</v>
      </c>
      <c r="F399" s="2" t="s">
        <v>276</v>
      </c>
      <c r="G399" s="2" t="s">
        <v>1667</v>
      </c>
      <c r="H399" s="2" t="s">
        <v>1669</v>
      </c>
      <c r="I399" s="1" t="s">
        <v>14</v>
      </c>
      <c r="J399" s="1" t="s">
        <v>973</v>
      </c>
      <c r="L399" s="34">
        <v>0.17199999999999999</v>
      </c>
      <c r="M399" s="35"/>
      <c r="N399" s="39">
        <v>504.54</v>
      </c>
      <c r="O399" s="35"/>
      <c r="P399" s="35"/>
      <c r="Q399" s="35"/>
      <c r="R399" s="14"/>
      <c r="S399" s="14"/>
      <c r="T399" s="35"/>
      <c r="U399" s="35"/>
      <c r="V399" s="60" t="s">
        <v>1736</v>
      </c>
    </row>
    <row r="400" spans="1:22" ht="51" x14ac:dyDescent="0.2">
      <c r="A400" s="1" t="s">
        <v>28</v>
      </c>
      <c r="B400" s="2" t="s">
        <v>29</v>
      </c>
      <c r="C400" s="2" t="s">
        <v>30</v>
      </c>
      <c r="D400" s="2" t="s">
        <v>31</v>
      </c>
      <c r="E400" s="2">
        <v>2020</v>
      </c>
      <c r="F400" s="2" t="s">
        <v>291</v>
      </c>
      <c r="G400" s="2" t="s">
        <v>1667</v>
      </c>
      <c r="H400" s="2" t="s">
        <v>1669</v>
      </c>
      <c r="I400" s="1" t="s">
        <v>14</v>
      </c>
      <c r="J400" s="1" t="s">
        <v>1160</v>
      </c>
      <c r="L400" s="34">
        <v>0.182</v>
      </c>
      <c r="M400" s="35"/>
      <c r="N400" s="35">
        <v>485.15</v>
      </c>
      <c r="O400" s="35"/>
      <c r="P400" s="35"/>
      <c r="Q400" s="35"/>
      <c r="R400" s="14"/>
      <c r="S400" s="14"/>
      <c r="T400" s="35"/>
      <c r="U400" s="35"/>
      <c r="V400" s="60" t="s">
        <v>1736</v>
      </c>
    </row>
    <row r="401" spans="1:22" ht="51" x14ac:dyDescent="0.2">
      <c r="A401" s="1" t="s">
        <v>28</v>
      </c>
      <c r="B401" s="2" t="s">
        <v>29</v>
      </c>
      <c r="C401" s="2" t="s">
        <v>30</v>
      </c>
      <c r="D401" s="2" t="s">
        <v>31</v>
      </c>
      <c r="E401" s="2">
        <v>2020</v>
      </c>
      <c r="F401" s="2" t="s">
        <v>311</v>
      </c>
      <c r="G401" s="2" t="s">
        <v>1667</v>
      </c>
      <c r="H401" s="2" t="s">
        <v>1669</v>
      </c>
      <c r="I401" s="1" t="s">
        <v>14</v>
      </c>
      <c r="J401" s="1" t="s">
        <v>1270</v>
      </c>
      <c r="L401" s="34">
        <v>0.16400000000000001</v>
      </c>
      <c r="M401" s="35"/>
      <c r="N401" s="35">
        <v>532.09</v>
      </c>
      <c r="O401" s="35"/>
      <c r="P401" s="35"/>
      <c r="Q401" s="35"/>
      <c r="R401" s="14"/>
      <c r="S401" s="14"/>
      <c r="T401" s="35"/>
      <c r="U401" s="35"/>
      <c r="V401" s="60" t="s">
        <v>1736</v>
      </c>
    </row>
    <row r="402" spans="1:22" ht="51" x14ac:dyDescent="0.2">
      <c r="A402" s="1" t="s">
        <v>28</v>
      </c>
      <c r="B402" s="2" t="s">
        <v>29</v>
      </c>
      <c r="C402" s="2" t="s">
        <v>30</v>
      </c>
      <c r="D402" s="2" t="s">
        <v>31</v>
      </c>
      <c r="E402" s="2">
        <v>2020</v>
      </c>
      <c r="F402" s="2" t="s">
        <v>337</v>
      </c>
      <c r="G402" s="2" t="s">
        <v>1667</v>
      </c>
      <c r="H402" s="2" t="s">
        <v>1669</v>
      </c>
      <c r="I402" s="1" t="s">
        <v>14</v>
      </c>
      <c r="J402" s="1" t="s">
        <v>1408</v>
      </c>
      <c r="L402" s="34">
        <v>0.17299999999999999</v>
      </c>
      <c r="M402" s="35"/>
      <c r="N402" s="35">
        <v>545.4</v>
      </c>
      <c r="O402" s="35"/>
      <c r="P402" s="35"/>
      <c r="Q402" s="35"/>
      <c r="R402" s="14"/>
      <c r="S402" s="14"/>
      <c r="T402" s="35"/>
      <c r="U402" s="35"/>
      <c r="V402" s="60" t="s">
        <v>1736</v>
      </c>
    </row>
    <row r="403" spans="1:22" ht="51" x14ac:dyDescent="0.2">
      <c r="A403" s="1" t="s">
        <v>28</v>
      </c>
      <c r="B403" s="2" t="s">
        <v>29</v>
      </c>
      <c r="C403" s="2" t="s">
        <v>30</v>
      </c>
      <c r="D403" s="2" t="s">
        <v>31</v>
      </c>
      <c r="E403" s="2">
        <v>2020</v>
      </c>
      <c r="F403" s="2" t="s">
        <v>364</v>
      </c>
      <c r="G403" s="2" t="s">
        <v>1667</v>
      </c>
      <c r="H403" s="2" t="s">
        <v>1669</v>
      </c>
      <c r="I403" s="1" t="s">
        <v>14</v>
      </c>
      <c r="J403" s="1" t="s">
        <v>1486</v>
      </c>
      <c r="L403" s="34">
        <v>0.16400000000000001</v>
      </c>
      <c r="M403" s="35"/>
      <c r="N403" s="35">
        <v>573.30999999999995</v>
      </c>
      <c r="O403" s="35"/>
      <c r="P403" s="35"/>
      <c r="Q403" s="35"/>
      <c r="R403" s="14"/>
      <c r="S403" s="14"/>
      <c r="T403" s="35"/>
      <c r="U403" s="35"/>
      <c r="V403" s="60" t="s">
        <v>1736</v>
      </c>
    </row>
    <row r="404" spans="1:22" ht="51" x14ac:dyDescent="0.2">
      <c r="A404" s="1" t="s">
        <v>28</v>
      </c>
      <c r="B404" s="2" t="s">
        <v>29</v>
      </c>
      <c r="C404" s="2" t="s">
        <v>30</v>
      </c>
      <c r="D404" s="2" t="s">
        <v>31</v>
      </c>
      <c r="E404" s="2">
        <v>2020</v>
      </c>
      <c r="F404" s="2" t="s">
        <v>388</v>
      </c>
      <c r="G404" s="2" t="s">
        <v>1667</v>
      </c>
      <c r="H404" s="2" t="s">
        <v>1669</v>
      </c>
      <c r="I404" s="1" t="s">
        <v>14</v>
      </c>
      <c r="J404" s="1" t="s">
        <v>1644</v>
      </c>
      <c r="L404" s="34">
        <v>0.17100000000000001</v>
      </c>
      <c r="M404" s="35"/>
      <c r="N404" s="35">
        <v>749.72</v>
      </c>
      <c r="O404" s="35"/>
      <c r="P404" s="35"/>
      <c r="Q404" s="35"/>
      <c r="R404" s="35"/>
      <c r="S404" s="35"/>
      <c r="T404" s="35"/>
      <c r="U404" s="35"/>
      <c r="V404" s="60" t="s">
        <v>1736</v>
      </c>
    </row>
    <row r="405" spans="1:22" ht="80.25" customHeight="1" x14ac:dyDescent="0.2">
      <c r="A405" s="1" t="s">
        <v>389</v>
      </c>
      <c r="B405" s="2" t="s">
        <v>196</v>
      </c>
      <c r="C405" s="2" t="s">
        <v>30</v>
      </c>
      <c r="D405" s="2" t="s">
        <v>31</v>
      </c>
      <c r="E405" s="2">
        <v>2020</v>
      </c>
      <c r="F405" s="2" t="s">
        <v>311</v>
      </c>
      <c r="G405" s="2" t="s">
        <v>1669</v>
      </c>
      <c r="H405" s="2" t="s">
        <v>1669</v>
      </c>
      <c r="I405" s="1" t="s">
        <v>1287</v>
      </c>
      <c r="J405" s="1" t="s">
        <v>1288</v>
      </c>
      <c r="L405" s="34">
        <v>0.26</v>
      </c>
      <c r="M405" s="35"/>
      <c r="N405" s="35"/>
      <c r="O405" s="35"/>
      <c r="P405" s="35"/>
      <c r="Q405" s="35"/>
      <c r="R405" s="14"/>
      <c r="S405" s="14"/>
      <c r="T405" s="35"/>
      <c r="U405" s="35">
        <v>500</v>
      </c>
    </row>
    <row r="406" spans="1:22" ht="85.5" customHeight="1" x14ac:dyDescent="0.2">
      <c r="A406" s="1" t="s">
        <v>446</v>
      </c>
      <c r="B406" s="2" t="s">
        <v>196</v>
      </c>
      <c r="C406" s="2" t="s">
        <v>30</v>
      </c>
      <c r="D406" s="2" t="s">
        <v>31</v>
      </c>
      <c r="E406" s="2">
        <v>2020</v>
      </c>
      <c r="F406" s="2" t="s">
        <v>337</v>
      </c>
      <c r="G406" s="2" t="s">
        <v>1669</v>
      </c>
      <c r="H406" s="2" t="s">
        <v>1669</v>
      </c>
      <c r="I406" s="1" t="s">
        <v>1342</v>
      </c>
      <c r="J406" s="1" t="s">
        <v>1343</v>
      </c>
      <c r="L406" s="5">
        <v>0.23810000000000001</v>
      </c>
      <c r="M406" s="35"/>
      <c r="N406" s="35">
        <v>579</v>
      </c>
      <c r="O406" s="35"/>
      <c r="P406" s="35"/>
      <c r="Q406" s="35"/>
      <c r="R406" s="6"/>
      <c r="S406" s="6"/>
      <c r="T406" s="35"/>
      <c r="U406" s="35"/>
      <c r="V406" s="60" t="s">
        <v>1759</v>
      </c>
    </row>
    <row r="407" spans="1:22" ht="38.25" x14ac:dyDescent="0.2">
      <c r="A407" s="1" t="s">
        <v>122</v>
      </c>
      <c r="B407" s="2" t="s">
        <v>10</v>
      </c>
      <c r="C407" s="2" t="s">
        <v>123</v>
      </c>
      <c r="D407" s="2" t="s">
        <v>124</v>
      </c>
      <c r="E407" s="2">
        <v>2020</v>
      </c>
      <c r="F407" s="2" t="s">
        <v>13</v>
      </c>
      <c r="G407" s="2" t="s">
        <v>1667</v>
      </c>
      <c r="H407" s="2" t="s">
        <v>1669</v>
      </c>
      <c r="I407" s="1" t="s">
        <v>14</v>
      </c>
      <c r="J407" s="1" t="s">
        <v>485</v>
      </c>
      <c r="L407" s="34"/>
      <c r="M407" s="35"/>
      <c r="N407" s="35"/>
      <c r="O407" s="35"/>
      <c r="P407" s="35"/>
      <c r="Q407" s="35"/>
      <c r="R407" s="35"/>
      <c r="S407" s="35"/>
      <c r="T407" s="35"/>
      <c r="U407" s="35"/>
      <c r="V407" s="60" t="s">
        <v>1735</v>
      </c>
    </row>
    <row r="408" spans="1:22" ht="38.25" x14ac:dyDescent="0.2">
      <c r="A408" s="1" t="s">
        <v>122</v>
      </c>
      <c r="B408" s="2" t="s">
        <v>10</v>
      </c>
      <c r="C408" s="2" t="s">
        <v>123</v>
      </c>
      <c r="D408" s="2" t="s">
        <v>124</v>
      </c>
      <c r="E408" s="2">
        <v>2020</v>
      </c>
      <c r="F408" s="2" t="s">
        <v>188</v>
      </c>
      <c r="G408" s="2" t="s">
        <v>1667</v>
      </c>
      <c r="H408" s="2" t="s">
        <v>1669</v>
      </c>
      <c r="I408" s="1" t="s">
        <v>14</v>
      </c>
      <c r="J408" s="1" t="s">
        <v>553</v>
      </c>
      <c r="L408" s="34"/>
      <c r="M408" s="35"/>
      <c r="N408" s="35"/>
      <c r="O408" s="35"/>
      <c r="P408" s="35"/>
      <c r="Q408" s="35"/>
      <c r="R408" s="35"/>
      <c r="S408" s="35"/>
      <c r="T408" s="35"/>
      <c r="U408" s="35"/>
      <c r="V408" s="60" t="s">
        <v>1735</v>
      </c>
    </row>
    <row r="409" spans="1:22" ht="38.25" x14ac:dyDescent="0.2">
      <c r="A409" s="1" t="s">
        <v>122</v>
      </c>
      <c r="B409" s="2" t="s">
        <v>10</v>
      </c>
      <c r="C409" s="2" t="s">
        <v>123</v>
      </c>
      <c r="D409" s="2" t="s">
        <v>124</v>
      </c>
      <c r="E409" s="2">
        <v>2020</v>
      </c>
      <c r="F409" s="2" t="s">
        <v>203</v>
      </c>
      <c r="G409" s="2" t="s">
        <v>1667</v>
      </c>
      <c r="H409" s="2" t="s">
        <v>1669</v>
      </c>
      <c r="I409" s="1" t="s">
        <v>14</v>
      </c>
      <c r="J409" s="1" t="s">
        <v>664</v>
      </c>
      <c r="L409" s="34"/>
      <c r="M409" s="35"/>
      <c r="N409" s="35"/>
      <c r="O409" s="35"/>
      <c r="P409" s="35"/>
      <c r="Q409" s="35"/>
      <c r="S409" s="35"/>
      <c r="T409" s="35"/>
      <c r="U409" s="35"/>
      <c r="V409" s="60" t="s">
        <v>1735</v>
      </c>
    </row>
    <row r="410" spans="1:22" ht="38.25" x14ac:dyDescent="0.2">
      <c r="A410" s="1" t="s">
        <v>122</v>
      </c>
      <c r="B410" s="2" t="s">
        <v>10</v>
      </c>
      <c r="C410" s="2" t="s">
        <v>123</v>
      </c>
      <c r="D410" s="2" t="s">
        <v>124</v>
      </c>
      <c r="E410" s="2">
        <v>2020</v>
      </c>
      <c r="F410" s="2" t="s">
        <v>211</v>
      </c>
      <c r="G410" s="2" t="s">
        <v>1667</v>
      </c>
      <c r="H410" s="2" t="s">
        <v>1669</v>
      </c>
      <c r="I410" s="1" t="s">
        <v>14</v>
      </c>
      <c r="J410" s="1" t="s">
        <v>735</v>
      </c>
      <c r="L410" s="34"/>
      <c r="M410" s="35"/>
      <c r="N410" s="35"/>
      <c r="O410" s="35"/>
      <c r="P410" s="35"/>
      <c r="Q410" s="35"/>
      <c r="S410" s="35"/>
      <c r="T410" s="35"/>
      <c r="U410" s="35"/>
      <c r="V410" s="60" t="s">
        <v>1735</v>
      </c>
    </row>
    <row r="411" spans="1:22" ht="38.25" x14ac:dyDescent="0.2">
      <c r="A411" s="1" t="s">
        <v>122</v>
      </c>
      <c r="B411" s="2" t="s">
        <v>10</v>
      </c>
      <c r="C411" s="2" t="s">
        <v>123</v>
      </c>
      <c r="D411" s="2" t="s">
        <v>124</v>
      </c>
      <c r="E411" s="2">
        <v>2020</v>
      </c>
      <c r="F411" s="2" t="s">
        <v>221</v>
      </c>
      <c r="G411" s="2" t="s">
        <v>1667</v>
      </c>
      <c r="H411" s="2" t="s">
        <v>1669</v>
      </c>
      <c r="I411" s="1" t="s">
        <v>14</v>
      </c>
      <c r="J411" s="1" t="s">
        <v>764</v>
      </c>
      <c r="L411" s="34"/>
      <c r="M411" s="35"/>
      <c r="N411" s="35"/>
      <c r="O411" s="35"/>
      <c r="P411" s="35"/>
      <c r="Q411" s="35"/>
      <c r="S411" s="35"/>
      <c r="T411" s="35"/>
      <c r="U411" s="35"/>
      <c r="V411" s="60" t="s">
        <v>1735</v>
      </c>
    </row>
    <row r="412" spans="1:22" ht="38.25" x14ac:dyDescent="0.2">
      <c r="A412" s="1" t="s">
        <v>122</v>
      </c>
      <c r="B412" s="2" t="s">
        <v>10</v>
      </c>
      <c r="C412" s="2" t="s">
        <v>123</v>
      </c>
      <c r="D412" s="2" t="s">
        <v>124</v>
      </c>
      <c r="E412" s="2">
        <v>2020</v>
      </c>
      <c r="F412" s="2" t="s">
        <v>256</v>
      </c>
      <c r="G412" s="2" t="s">
        <v>1667</v>
      </c>
      <c r="H412" s="2" t="s">
        <v>1669</v>
      </c>
      <c r="I412" s="1" t="s">
        <v>14</v>
      </c>
      <c r="J412" s="1" t="s">
        <v>874</v>
      </c>
      <c r="L412" s="34"/>
      <c r="M412" s="35"/>
      <c r="N412" s="35"/>
      <c r="O412" s="35"/>
      <c r="P412" s="35"/>
      <c r="Q412" s="35"/>
      <c r="S412" s="14"/>
      <c r="T412" s="35"/>
      <c r="U412" s="35"/>
      <c r="V412" s="60" t="s">
        <v>1735</v>
      </c>
    </row>
    <row r="413" spans="1:22" ht="25.5" x14ac:dyDescent="0.2">
      <c r="A413" s="1" t="s">
        <v>122</v>
      </c>
      <c r="B413" s="2" t="s">
        <v>10</v>
      </c>
      <c r="C413" s="2" t="s">
        <v>123</v>
      </c>
      <c r="D413" s="2" t="s">
        <v>124</v>
      </c>
      <c r="E413" s="2">
        <v>2020</v>
      </c>
      <c r="F413" s="2" t="s">
        <v>276</v>
      </c>
      <c r="G413" s="2" t="s">
        <v>1667</v>
      </c>
      <c r="H413" s="2" t="s">
        <v>1669</v>
      </c>
      <c r="I413" s="1" t="s">
        <v>14</v>
      </c>
      <c r="J413" s="1" t="s">
        <v>1042</v>
      </c>
      <c r="L413" s="34"/>
      <c r="M413" s="35"/>
      <c r="N413" s="35"/>
      <c r="O413" s="35"/>
      <c r="P413" s="35"/>
      <c r="Q413" s="35"/>
      <c r="S413" s="14"/>
      <c r="T413" s="35"/>
      <c r="U413" s="35"/>
      <c r="V413" s="60"/>
    </row>
    <row r="414" spans="1:22" ht="38.25" x14ac:dyDescent="0.2">
      <c r="A414" s="1" t="s">
        <v>122</v>
      </c>
      <c r="B414" s="2" t="s">
        <v>10</v>
      </c>
      <c r="C414" s="2" t="s">
        <v>123</v>
      </c>
      <c r="D414" s="2" t="s">
        <v>124</v>
      </c>
      <c r="E414" s="2">
        <v>2020</v>
      </c>
      <c r="F414" s="2" t="s">
        <v>291</v>
      </c>
      <c r="G414" s="2" t="s">
        <v>1667</v>
      </c>
      <c r="H414" s="2" t="s">
        <v>1669</v>
      </c>
      <c r="I414" s="1" t="s">
        <v>14</v>
      </c>
      <c r="J414" s="1" t="s">
        <v>1073</v>
      </c>
      <c r="L414" s="34"/>
      <c r="M414" s="35"/>
      <c r="N414" s="35"/>
      <c r="O414" s="35"/>
      <c r="P414" s="35"/>
      <c r="Q414" s="35"/>
      <c r="S414" s="14"/>
      <c r="T414" s="35"/>
      <c r="U414" s="35"/>
      <c r="V414" s="60" t="s">
        <v>1735</v>
      </c>
    </row>
    <row r="415" spans="1:22" ht="38.25" x14ac:dyDescent="0.2">
      <c r="A415" s="1" t="s">
        <v>122</v>
      </c>
      <c r="B415" s="2" t="s">
        <v>10</v>
      </c>
      <c r="C415" s="2" t="s">
        <v>123</v>
      </c>
      <c r="D415" s="2" t="s">
        <v>124</v>
      </c>
      <c r="E415" s="2">
        <v>2020</v>
      </c>
      <c r="F415" s="2" t="s">
        <v>311</v>
      </c>
      <c r="G415" s="2" t="s">
        <v>1667</v>
      </c>
      <c r="H415" s="2" t="s">
        <v>1669</v>
      </c>
      <c r="I415" s="1" t="s">
        <v>14</v>
      </c>
      <c r="J415" s="1" t="s">
        <v>1204</v>
      </c>
      <c r="L415" s="34"/>
      <c r="M415" s="35"/>
      <c r="N415" s="35"/>
      <c r="O415" s="35"/>
      <c r="P415" s="35"/>
      <c r="Q415" s="35"/>
      <c r="S415" s="14"/>
      <c r="T415" s="35"/>
      <c r="U415" s="35"/>
      <c r="V415" s="60" t="s">
        <v>1735</v>
      </c>
    </row>
    <row r="416" spans="1:22" ht="38.25" x14ac:dyDescent="0.2">
      <c r="A416" s="1" t="s">
        <v>122</v>
      </c>
      <c r="B416" s="2" t="s">
        <v>10</v>
      </c>
      <c r="C416" s="2" t="s">
        <v>123</v>
      </c>
      <c r="D416" s="2" t="s">
        <v>124</v>
      </c>
      <c r="E416" s="2">
        <v>2020</v>
      </c>
      <c r="F416" s="2" t="s">
        <v>337</v>
      </c>
      <c r="G416" s="2" t="s">
        <v>1667</v>
      </c>
      <c r="H416" s="2" t="s">
        <v>1669</v>
      </c>
      <c r="I416" s="1" t="s">
        <v>14</v>
      </c>
      <c r="J416" s="1" t="s">
        <v>1371</v>
      </c>
      <c r="L416" s="34"/>
      <c r="M416" s="35"/>
      <c r="N416" s="35"/>
      <c r="O416" s="35"/>
      <c r="P416" s="35"/>
      <c r="Q416" s="35"/>
      <c r="S416" s="14"/>
      <c r="T416" s="35"/>
      <c r="U416" s="35"/>
      <c r="V416" s="60" t="s">
        <v>1735</v>
      </c>
    </row>
    <row r="417" spans="1:22" ht="38.25" x14ac:dyDescent="0.2">
      <c r="A417" s="1" t="s">
        <v>122</v>
      </c>
      <c r="B417" s="2" t="s">
        <v>10</v>
      </c>
      <c r="C417" s="2" t="s">
        <v>123</v>
      </c>
      <c r="D417" s="2" t="s">
        <v>124</v>
      </c>
      <c r="E417" s="2">
        <v>2020</v>
      </c>
      <c r="F417" s="2" t="s">
        <v>364</v>
      </c>
      <c r="G417" s="2" t="s">
        <v>1667</v>
      </c>
      <c r="H417" s="2" t="s">
        <v>1669</v>
      </c>
      <c r="I417" s="1" t="s">
        <v>14</v>
      </c>
      <c r="J417" s="1" t="s">
        <v>1483</v>
      </c>
      <c r="L417" s="34"/>
      <c r="M417" s="35"/>
      <c r="N417" s="35"/>
      <c r="O417" s="35"/>
      <c r="P417" s="35"/>
      <c r="Q417" s="35"/>
      <c r="S417" s="14"/>
      <c r="T417" s="35"/>
      <c r="U417" s="35"/>
      <c r="V417" s="60" t="s">
        <v>1735</v>
      </c>
    </row>
    <row r="418" spans="1:22" ht="38.25" x14ac:dyDescent="0.2">
      <c r="A418" s="1" t="s">
        <v>122</v>
      </c>
      <c r="B418" s="2" t="s">
        <v>10</v>
      </c>
      <c r="C418" s="2" t="s">
        <v>123</v>
      </c>
      <c r="D418" s="2" t="s">
        <v>124</v>
      </c>
      <c r="E418" s="2">
        <v>2020</v>
      </c>
      <c r="F418" s="2" t="s">
        <v>388</v>
      </c>
      <c r="G418" s="2" t="s">
        <v>1667</v>
      </c>
      <c r="H418" s="2" t="s">
        <v>1669</v>
      </c>
      <c r="I418" s="1" t="s">
        <v>14</v>
      </c>
      <c r="J418" s="1" t="s">
        <v>1666</v>
      </c>
      <c r="L418" s="34"/>
      <c r="M418" s="35"/>
      <c r="N418" s="35"/>
      <c r="O418" s="35"/>
      <c r="P418" s="35"/>
      <c r="Q418" s="35"/>
      <c r="R418" s="41"/>
      <c r="S418" s="35"/>
      <c r="T418" s="35"/>
      <c r="U418" s="35"/>
      <c r="V418" s="60" t="s">
        <v>1735</v>
      </c>
    </row>
    <row r="419" spans="1:22" ht="25.5" x14ac:dyDescent="0.2">
      <c r="A419" s="1" t="s">
        <v>56</v>
      </c>
      <c r="B419" s="2" t="s">
        <v>24</v>
      </c>
      <c r="C419" s="2" t="s">
        <v>57</v>
      </c>
      <c r="D419" s="2" t="s">
        <v>58</v>
      </c>
      <c r="E419" s="2">
        <v>2020</v>
      </c>
      <c r="F419" s="2" t="s">
        <v>13</v>
      </c>
      <c r="G419" s="2" t="s">
        <v>1667</v>
      </c>
      <c r="H419" s="2" t="s">
        <v>1669</v>
      </c>
      <c r="I419" s="1" t="s">
        <v>14</v>
      </c>
      <c r="J419" s="1" t="s">
        <v>533</v>
      </c>
      <c r="L419" s="34">
        <v>0.23</v>
      </c>
      <c r="M419" s="35"/>
      <c r="N419" s="35">
        <v>97.6</v>
      </c>
      <c r="O419" s="35"/>
      <c r="P419" s="35"/>
      <c r="Q419" s="35"/>
      <c r="R419" s="35"/>
      <c r="S419" s="35"/>
      <c r="T419" s="35"/>
      <c r="U419" s="35"/>
    </row>
    <row r="420" spans="1:22" ht="25.5" x14ac:dyDescent="0.2">
      <c r="A420" s="1" t="s">
        <v>56</v>
      </c>
      <c r="B420" s="2" t="s">
        <v>24</v>
      </c>
      <c r="C420" s="2" t="s">
        <v>57</v>
      </c>
      <c r="D420" s="2" t="s">
        <v>58</v>
      </c>
      <c r="E420" s="2">
        <v>2020</v>
      </c>
      <c r="F420" s="2" t="s">
        <v>188</v>
      </c>
      <c r="G420" s="2" t="s">
        <v>1667</v>
      </c>
      <c r="H420" s="2" t="s">
        <v>1669</v>
      </c>
      <c r="I420" s="1" t="s">
        <v>14</v>
      </c>
      <c r="J420" s="1" t="s">
        <v>589</v>
      </c>
      <c r="L420" s="34">
        <v>0.21</v>
      </c>
      <c r="M420" s="35"/>
      <c r="N420" s="35">
        <v>77.92</v>
      </c>
      <c r="O420" s="35"/>
      <c r="P420" s="35"/>
      <c r="Q420" s="35"/>
      <c r="R420" s="14"/>
      <c r="S420" s="35"/>
      <c r="T420" s="35"/>
      <c r="U420" s="35"/>
    </row>
    <row r="421" spans="1:22" ht="25.5" x14ac:dyDescent="0.2">
      <c r="A421" s="1" t="s">
        <v>56</v>
      </c>
      <c r="B421" s="2" t="s">
        <v>24</v>
      </c>
      <c r="C421" s="2" t="s">
        <v>57</v>
      </c>
      <c r="D421" s="2" t="s">
        <v>58</v>
      </c>
      <c r="E421" s="2">
        <v>2020</v>
      </c>
      <c r="F421" s="2" t="s">
        <v>203</v>
      </c>
      <c r="G421" s="2" t="s">
        <v>1667</v>
      </c>
      <c r="H421" s="2" t="s">
        <v>1669</v>
      </c>
      <c r="I421" s="1" t="s">
        <v>14</v>
      </c>
      <c r="J421" s="1" t="s">
        <v>645</v>
      </c>
      <c r="L421" s="34">
        <v>0.21</v>
      </c>
      <c r="M421" s="35"/>
      <c r="N421" s="35">
        <v>79.06</v>
      </c>
      <c r="O421" s="35"/>
      <c r="P421" s="35"/>
      <c r="Q421" s="35"/>
      <c r="R421" s="14"/>
      <c r="S421" s="35"/>
      <c r="T421" s="35"/>
      <c r="U421" s="35"/>
    </row>
    <row r="422" spans="1:22" ht="25.5" x14ac:dyDescent="0.2">
      <c r="A422" s="1" t="s">
        <v>56</v>
      </c>
      <c r="B422" s="2" t="s">
        <v>24</v>
      </c>
      <c r="C422" s="2" t="s">
        <v>57</v>
      </c>
      <c r="D422" s="2" t="s">
        <v>58</v>
      </c>
      <c r="E422" s="2">
        <v>2020</v>
      </c>
      <c r="F422" s="2" t="s">
        <v>211</v>
      </c>
      <c r="G422" s="2" t="s">
        <v>1667</v>
      </c>
      <c r="H422" s="2" t="s">
        <v>1669</v>
      </c>
      <c r="I422" s="1" t="s">
        <v>14</v>
      </c>
      <c r="J422" s="1" t="s">
        <v>751</v>
      </c>
      <c r="L422" s="34">
        <v>0.25</v>
      </c>
      <c r="M422" s="35"/>
      <c r="N422" s="35">
        <v>80.19</v>
      </c>
      <c r="O422" s="35"/>
      <c r="P422" s="35"/>
      <c r="Q422" s="35"/>
      <c r="R422" s="14"/>
      <c r="S422" s="35"/>
      <c r="T422" s="35"/>
      <c r="U422" s="35"/>
    </row>
    <row r="423" spans="1:22" ht="25.5" x14ac:dyDescent="0.2">
      <c r="A423" s="1" t="s">
        <v>56</v>
      </c>
      <c r="B423" s="2" t="s">
        <v>24</v>
      </c>
      <c r="C423" s="2" t="s">
        <v>57</v>
      </c>
      <c r="D423" s="2" t="s">
        <v>58</v>
      </c>
      <c r="E423" s="2">
        <v>2020</v>
      </c>
      <c r="F423" s="2" t="s">
        <v>221</v>
      </c>
      <c r="G423" s="2" t="s">
        <v>1667</v>
      </c>
      <c r="H423" s="2" t="s">
        <v>1669</v>
      </c>
      <c r="I423" s="1" t="s">
        <v>14</v>
      </c>
      <c r="J423" s="1" t="s">
        <v>855</v>
      </c>
      <c r="L423" s="34">
        <v>0.23</v>
      </c>
      <c r="M423" s="35"/>
      <c r="N423" s="35">
        <v>107.47</v>
      </c>
      <c r="O423" s="35"/>
      <c r="P423" s="35"/>
      <c r="Q423" s="35"/>
      <c r="R423" s="14"/>
      <c r="S423" s="14"/>
      <c r="T423" s="35"/>
      <c r="U423" s="35"/>
    </row>
    <row r="424" spans="1:22" ht="25.5" x14ac:dyDescent="0.2">
      <c r="A424" s="1" t="s">
        <v>56</v>
      </c>
      <c r="B424" s="2" t="s">
        <v>24</v>
      </c>
      <c r="C424" s="2" t="s">
        <v>57</v>
      </c>
      <c r="D424" s="2" t="s">
        <v>58</v>
      </c>
      <c r="E424" s="2">
        <v>2020</v>
      </c>
      <c r="F424" s="2" t="s">
        <v>256</v>
      </c>
      <c r="G424" s="2" t="s">
        <v>1667</v>
      </c>
      <c r="H424" s="2" t="s">
        <v>1669</v>
      </c>
      <c r="I424" s="1" t="s">
        <v>14</v>
      </c>
      <c r="J424" s="1" t="s">
        <v>894</v>
      </c>
      <c r="L424" s="34">
        <v>0.26</v>
      </c>
      <c r="M424" s="35"/>
      <c r="N424" s="35">
        <v>99.54</v>
      </c>
      <c r="O424" s="35"/>
      <c r="P424" s="35"/>
      <c r="Q424" s="35"/>
      <c r="R424" s="14"/>
      <c r="S424" s="14"/>
      <c r="T424" s="35"/>
      <c r="U424" s="35"/>
    </row>
    <row r="425" spans="1:22" ht="25.5" x14ac:dyDescent="0.2">
      <c r="A425" s="1" t="s">
        <v>56</v>
      </c>
      <c r="B425" s="2" t="s">
        <v>24</v>
      </c>
      <c r="C425" s="2" t="s">
        <v>57</v>
      </c>
      <c r="D425" s="2" t="s">
        <v>58</v>
      </c>
      <c r="E425" s="2">
        <v>2020</v>
      </c>
      <c r="F425" s="2" t="s">
        <v>276</v>
      </c>
      <c r="G425" s="2" t="s">
        <v>1667</v>
      </c>
      <c r="H425" s="2" t="s">
        <v>1669</v>
      </c>
      <c r="I425" s="1" t="s">
        <v>14</v>
      </c>
      <c r="J425" s="1" t="s">
        <v>1028</v>
      </c>
      <c r="L425" s="34">
        <v>0.25</v>
      </c>
      <c r="M425" s="35"/>
      <c r="N425" s="35">
        <v>122.17</v>
      </c>
      <c r="O425" s="35"/>
      <c r="P425" s="35"/>
      <c r="Q425" s="35"/>
      <c r="R425" s="14"/>
      <c r="S425" s="14"/>
      <c r="T425" s="35"/>
      <c r="U425" s="35"/>
    </row>
    <row r="426" spans="1:22" ht="25.5" x14ac:dyDescent="0.2">
      <c r="A426" s="1" t="s">
        <v>56</v>
      </c>
      <c r="B426" s="2" t="s">
        <v>24</v>
      </c>
      <c r="C426" s="2" t="s">
        <v>57</v>
      </c>
      <c r="D426" s="2" t="s">
        <v>58</v>
      </c>
      <c r="E426" s="2">
        <v>2020</v>
      </c>
      <c r="F426" s="2" t="s">
        <v>291</v>
      </c>
      <c r="G426" s="2" t="s">
        <v>1667</v>
      </c>
      <c r="H426" s="2" t="s">
        <v>1669</v>
      </c>
      <c r="I426" s="1" t="s">
        <v>14</v>
      </c>
      <c r="J426" s="1" t="s">
        <v>1179</v>
      </c>
      <c r="L426" s="34">
        <v>0.24</v>
      </c>
      <c r="M426" s="35"/>
      <c r="N426" s="35">
        <v>94.33</v>
      </c>
      <c r="O426" s="35"/>
      <c r="P426" s="35"/>
      <c r="Q426" s="35"/>
      <c r="R426" s="14"/>
      <c r="S426" s="14"/>
      <c r="T426" s="35"/>
      <c r="U426" s="35"/>
    </row>
    <row r="427" spans="1:22" ht="25.5" x14ac:dyDescent="0.2">
      <c r="A427" s="1" t="s">
        <v>56</v>
      </c>
      <c r="B427" s="2" t="s">
        <v>24</v>
      </c>
      <c r="C427" s="2" t="s">
        <v>57</v>
      </c>
      <c r="D427" s="2" t="s">
        <v>58</v>
      </c>
      <c r="E427" s="2">
        <v>2020</v>
      </c>
      <c r="F427" s="2" t="s">
        <v>311</v>
      </c>
      <c r="G427" s="2" t="s">
        <v>1667</v>
      </c>
      <c r="H427" s="2" t="s">
        <v>1669</v>
      </c>
      <c r="I427" s="1" t="s">
        <v>14</v>
      </c>
      <c r="J427" s="1" t="s">
        <v>1262</v>
      </c>
      <c r="L427" s="34">
        <v>0.24</v>
      </c>
      <c r="M427" s="35"/>
      <c r="N427" s="35">
        <v>113.47</v>
      </c>
      <c r="O427" s="35"/>
      <c r="P427" s="35"/>
      <c r="Q427" s="35"/>
      <c r="R427" s="14"/>
      <c r="S427" s="14"/>
      <c r="T427" s="35"/>
      <c r="U427" s="35"/>
    </row>
    <row r="428" spans="1:22" ht="25.5" x14ac:dyDescent="0.2">
      <c r="A428" s="1" t="s">
        <v>56</v>
      </c>
      <c r="B428" s="2" t="s">
        <v>24</v>
      </c>
      <c r="C428" s="2" t="s">
        <v>57</v>
      </c>
      <c r="D428" s="2" t="s">
        <v>58</v>
      </c>
      <c r="E428" s="2">
        <v>2020</v>
      </c>
      <c r="F428" s="2" t="s">
        <v>337</v>
      </c>
      <c r="G428" s="2" t="s">
        <v>1667</v>
      </c>
      <c r="H428" s="2" t="s">
        <v>1669</v>
      </c>
      <c r="I428" s="1" t="s">
        <v>14</v>
      </c>
      <c r="J428" s="1" t="s">
        <v>1433</v>
      </c>
      <c r="L428" s="34">
        <v>0.24</v>
      </c>
      <c r="M428" s="35"/>
      <c r="N428" s="35">
        <v>115.44</v>
      </c>
      <c r="O428" s="35"/>
      <c r="P428" s="35"/>
      <c r="Q428" s="35"/>
      <c r="R428" s="14"/>
      <c r="S428" s="14"/>
      <c r="T428" s="35"/>
      <c r="U428" s="35"/>
    </row>
    <row r="429" spans="1:22" ht="25.5" x14ac:dyDescent="0.2">
      <c r="A429" s="1" t="s">
        <v>56</v>
      </c>
      <c r="B429" s="2" t="s">
        <v>24</v>
      </c>
      <c r="C429" s="2" t="s">
        <v>57</v>
      </c>
      <c r="D429" s="2" t="s">
        <v>58</v>
      </c>
      <c r="E429" s="2">
        <v>2020</v>
      </c>
      <c r="F429" s="2" t="s">
        <v>364</v>
      </c>
      <c r="G429" s="2" t="s">
        <v>1667</v>
      </c>
      <c r="H429" s="2" t="s">
        <v>1669</v>
      </c>
      <c r="I429" s="1" t="s">
        <v>14</v>
      </c>
      <c r="J429" s="1" t="s">
        <v>1504</v>
      </c>
      <c r="L429" s="34">
        <v>0.24</v>
      </c>
      <c r="M429" s="35"/>
      <c r="N429" s="35">
        <v>108.42</v>
      </c>
      <c r="O429" s="35"/>
      <c r="P429" s="35"/>
      <c r="Q429" s="35"/>
      <c r="R429" s="14"/>
      <c r="S429" s="14"/>
      <c r="T429" s="35"/>
      <c r="U429" s="35"/>
    </row>
    <row r="430" spans="1:22" ht="25.5" x14ac:dyDescent="0.2">
      <c r="A430" s="1" t="s">
        <v>56</v>
      </c>
      <c r="B430" s="2" t="s">
        <v>24</v>
      </c>
      <c r="C430" s="2" t="s">
        <v>57</v>
      </c>
      <c r="D430" s="2" t="s">
        <v>58</v>
      </c>
      <c r="E430" s="2">
        <v>2020</v>
      </c>
      <c r="F430" s="2" t="s">
        <v>388</v>
      </c>
      <c r="G430" s="2" t="s">
        <v>1667</v>
      </c>
      <c r="H430" s="2" t="s">
        <v>1669</v>
      </c>
      <c r="I430" s="1" t="s">
        <v>14</v>
      </c>
      <c r="J430" s="1" t="s">
        <v>1633</v>
      </c>
      <c r="L430" s="34">
        <v>0.23</v>
      </c>
      <c r="M430" s="35"/>
      <c r="N430" s="35">
        <v>88.16</v>
      </c>
      <c r="O430" s="35"/>
      <c r="P430" s="35"/>
      <c r="Q430" s="35"/>
      <c r="R430" s="35"/>
      <c r="S430" s="35"/>
      <c r="T430" s="35"/>
      <c r="U430" s="35"/>
    </row>
    <row r="431" spans="1:22" ht="51" x14ac:dyDescent="0.2">
      <c r="A431" s="1" t="s">
        <v>393</v>
      </c>
      <c r="B431" s="2" t="s">
        <v>32</v>
      </c>
      <c r="C431" s="2" t="s">
        <v>394</v>
      </c>
      <c r="D431" s="2" t="s">
        <v>243</v>
      </c>
      <c r="E431" s="2">
        <v>2020</v>
      </c>
      <c r="F431" s="2" t="s">
        <v>256</v>
      </c>
      <c r="G431" s="2" t="s">
        <v>1667</v>
      </c>
      <c r="H431" s="2" t="s">
        <v>1669</v>
      </c>
      <c r="I431" s="1" t="s">
        <v>14</v>
      </c>
      <c r="J431" s="1" t="s">
        <v>904</v>
      </c>
      <c r="L431" s="34"/>
      <c r="M431" s="35"/>
      <c r="N431" s="35"/>
      <c r="O431" s="35"/>
      <c r="P431" s="35"/>
      <c r="Q431" s="35"/>
      <c r="R431" s="14"/>
      <c r="S431" s="14"/>
      <c r="T431" s="35"/>
      <c r="U431" s="35"/>
      <c r="V431" s="60" t="s">
        <v>1702</v>
      </c>
    </row>
    <row r="432" spans="1:22" ht="38.25" x14ac:dyDescent="0.2">
      <c r="A432" s="1" t="s">
        <v>347</v>
      </c>
      <c r="B432" s="2" t="s">
        <v>222</v>
      </c>
      <c r="C432" s="2" t="s">
        <v>348</v>
      </c>
      <c r="D432" s="2" t="s">
        <v>192</v>
      </c>
      <c r="E432" s="2">
        <v>2020</v>
      </c>
      <c r="F432" s="2" t="s">
        <v>364</v>
      </c>
      <c r="G432" s="2" t="s">
        <v>1669</v>
      </c>
      <c r="H432" s="2" t="s">
        <v>1669</v>
      </c>
      <c r="I432" s="1" t="s">
        <v>1589</v>
      </c>
      <c r="J432" s="1" t="s">
        <v>1590</v>
      </c>
      <c r="L432" s="5"/>
      <c r="M432" s="35"/>
      <c r="N432" s="35"/>
      <c r="O432" s="35"/>
      <c r="P432" s="35"/>
      <c r="Q432" s="35"/>
      <c r="R432" s="6"/>
      <c r="S432" s="6"/>
      <c r="T432" s="35"/>
      <c r="U432" s="35"/>
      <c r="V432" s="60" t="s">
        <v>1703</v>
      </c>
    </row>
    <row r="433" spans="1:22" ht="25.5" x14ac:dyDescent="0.2">
      <c r="A433" s="1" t="s">
        <v>15</v>
      </c>
      <c r="B433" s="2" t="s">
        <v>16</v>
      </c>
      <c r="C433" s="2" t="s">
        <v>17</v>
      </c>
      <c r="D433" s="2" t="s">
        <v>18</v>
      </c>
      <c r="E433" s="2">
        <v>2020</v>
      </c>
      <c r="F433" s="2" t="s">
        <v>13</v>
      </c>
      <c r="G433" s="2" t="s">
        <v>1668</v>
      </c>
      <c r="H433" s="2" t="s">
        <v>1669</v>
      </c>
      <c r="I433" s="1" t="s">
        <v>14</v>
      </c>
      <c r="J433" s="1" t="s">
        <v>484</v>
      </c>
      <c r="L433" s="34">
        <v>0.27400000000000002</v>
      </c>
      <c r="M433" s="35"/>
      <c r="N433" s="35">
        <v>569.31700000000001</v>
      </c>
      <c r="O433" s="35"/>
      <c r="P433" s="35"/>
      <c r="Q433" s="35"/>
      <c r="R433" s="35"/>
      <c r="S433" s="35">
        <v>492.69</v>
      </c>
      <c r="T433" s="35"/>
      <c r="U433" s="35"/>
    </row>
    <row r="434" spans="1:22" ht="89.25" x14ac:dyDescent="0.2">
      <c r="A434" s="1" t="s">
        <v>15</v>
      </c>
      <c r="B434" s="2" t="s">
        <v>16</v>
      </c>
      <c r="C434" s="2" t="s">
        <v>17</v>
      </c>
      <c r="D434" s="2" t="s">
        <v>18</v>
      </c>
      <c r="E434" s="2">
        <v>2020</v>
      </c>
      <c r="F434" s="2" t="s">
        <v>188</v>
      </c>
      <c r="G434" s="2" t="s">
        <v>1668</v>
      </c>
      <c r="H434" s="2" t="s">
        <v>1669</v>
      </c>
      <c r="I434" s="1" t="s">
        <v>14</v>
      </c>
      <c r="J434" s="1" t="s">
        <v>550</v>
      </c>
      <c r="L434" s="34">
        <v>0.27100000000000002</v>
      </c>
      <c r="M434" s="35"/>
      <c r="N434" s="35">
        <v>537.72199999999998</v>
      </c>
      <c r="O434" s="35"/>
      <c r="P434" s="35"/>
      <c r="Q434" s="35"/>
      <c r="R434" s="35"/>
      <c r="S434" s="35">
        <v>499.64699999999999</v>
      </c>
      <c r="T434" s="35"/>
      <c r="U434" s="35"/>
    </row>
    <row r="435" spans="1:22" ht="114.75" x14ac:dyDescent="0.2">
      <c r="A435" s="1" t="s">
        <v>15</v>
      </c>
      <c r="B435" s="2" t="s">
        <v>16</v>
      </c>
      <c r="C435" s="2" t="s">
        <v>17</v>
      </c>
      <c r="D435" s="2" t="s">
        <v>18</v>
      </c>
      <c r="E435" s="2">
        <v>2020</v>
      </c>
      <c r="F435" s="2" t="s">
        <v>203</v>
      </c>
      <c r="G435" s="2" t="s">
        <v>1668</v>
      </c>
      <c r="H435" s="2" t="s">
        <v>1669</v>
      </c>
      <c r="I435" s="1" t="s">
        <v>14</v>
      </c>
      <c r="J435" s="1" t="s">
        <v>643</v>
      </c>
      <c r="L435" s="34">
        <v>0.27600000000000002</v>
      </c>
      <c r="M435" s="35"/>
      <c r="N435" s="35">
        <v>669.60799999999995</v>
      </c>
      <c r="O435" s="35"/>
      <c r="P435" s="35"/>
      <c r="Q435" s="35"/>
      <c r="R435" s="14"/>
      <c r="S435" s="35">
        <v>522.23800000000006</v>
      </c>
      <c r="T435" s="35"/>
      <c r="U435" s="35"/>
    </row>
    <row r="436" spans="1:22" ht="38.25" x14ac:dyDescent="0.2">
      <c r="A436" s="1" t="s">
        <v>15</v>
      </c>
      <c r="B436" s="2" t="s">
        <v>16</v>
      </c>
      <c r="C436" s="2" t="s">
        <v>17</v>
      </c>
      <c r="D436" s="2" t="s">
        <v>18</v>
      </c>
      <c r="E436" s="2">
        <v>2020</v>
      </c>
      <c r="F436" s="2" t="s">
        <v>211</v>
      </c>
      <c r="G436" s="2" t="s">
        <v>1668</v>
      </c>
      <c r="H436" s="2" t="s">
        <v>1669</v>
      </c>
      <c r="I436" s="1" t="s">
        <v>14</v>
      </c>
      <c r="J436" s="1" t="s">
        <v>739</v>
      </c>
      <c r="L436" s="34">
        <v>0.26500000000000001</v>
      </c>
      <c r="M436" s="35"/>
      <c r="N436" s="35">
        <v>486.74900000000002</v>
      </c>
      <c r="O436" s="35"/>
      <c r="P436" s="35"/>
      <c r="Q436" s="35"/>
      <c r="R436" s="14"/>
      <c r="S436" s="35">
        <v>464.84800000000001</v>
      </c>
      <c r="T436" s="35"/>
      <c r="U436" s="35"/>
    </row>
    <row r="437" spans="1:22" ht="38.25" x14ac:dyDescent="0.2">
      <c r="A437" s="1" t="s">
        <v>15</v>
      </c>
      <c r="B437" s="2" t="s">
        <v>16</v>
      </c>
      <c r="C437" s="2" t="s">
        <v>17</v>
      </c>
      <c r="D437" s="2" t="s">
        <v>18</v>
      </c>
      <c r="E437" s="2">
        <v>2020</v>
      </c>
      <c r="F437" s="2" t="s">
        <v>221</v>
      </c>
      <c r="G437" s="2" t="s">
        <v>1668</v>
      </c>
      <c r="H437" s="2" t="s">
        <v>1669</v>
      </c>
      <c r="I437" s="1" t="s">
        <v>14</v>
      </c>
      <c r="J437" s="1" t="s">
        <v>787</v>
      </c>
      <c r="L437" s="34">
        <v>0.27300000000000002</v>
      </c>
      <c r="M437" s="35"/>
      <c r="N437" s="35">
        <v>700.58199999999999</v>
      </c>
      <c r="O437" s="35"/>
      <c r="P437" s="35"/>
      <c r="Q437" s="35"/>
      <c r="R437" s="14"/>
      <c r="S437" s="35">
        <v>500.25700000000001</v>
      </c>
      <c r="T437" s="35"/>
      <c r="U437" s="35"/>
    </row>
    <row r="438" spans="1:22" ht="38.25" x14ac:dyDescent="0.2">
      <c r="A438" s="1" t="s">
        <v>15</v>
      </c>
      <c r="B438" s="2" t="s">
        <v>16</v>
      </c>
      <c r="C438" s="2" t="s">
        <v>17</v>
      </c>
      <c r="D438" s="2" t="s">
        <v>18</v>
      </c>
      <c r="E438" s="2">
        <v>2020</v>
      </c>
      <c r="F438" s="2" t="s">
        <v>256</v>
      </c>
      <c r="G438" s="2" t="s">
        <v>1668</v>
      </c>
      <c r="H438" s="2" t="s">
        <v>1669</v>
      </c>
      <c r="I438" s="1" t="s">
        <v>14</v>
      </c>
      <c r="J438" s="1" t="s">
        <v>869</v>
      </c>
      <c r="L438" s="34">
        <v>0.28000000000000003</v>
      </c>
      <c r="M438" s="35"/>
      <c r="N438" s="35">
        <v>826.04100000000005</v>
      </c>
      <c r="O438" s="35"/>
      <c r="P438" s="35"/>
      <c r="Q438" s="35"/>
      <c r="R438" s="14"/>
      <c r="S438" s="45">
        <v>503.48</v>
      </c>
      <c r="T438" s="35"/>
      <c r="U438" s="35"/>
    </row>
    <row r="439" spans="1:22" ht="38.25" x14ac:dyDescent="0.2">
      <c r="A439" s="1" t="s">
        <v>15</v>
      </c>
      <c r="B439" s="2" t="s">
        <v>16</v>
      </c>
      <c r="C439" s="2" t="s">
        <v>17</v>
      </c>
      <c r="D439" s="2" t="s">
        <v>18</v>
      </c>
      <c r="E439" s="2">
        <v>2020</v>
      </c>
      <c r="F439" s="2" t="s">
        <v>276</v>
      </c>
      <c r="G439" s="2" t="s">
        <v>1668</v>
      </c>
      <c r="H439" s="2" t="s">
        <v>1669</v>
      </c>
      <c r="I439" s="1" t="s">
        <v>14</v>
      </c>
      <c r="J439" s="1" t="s">
        <v>960</v>
      </c>
      <c r="L439" s="34">
        <v>0.28699999999999998</v>
      </c>
      <c r="M439" s="35"/>
      <c r="N439" s="35">
        <v>649.77</v>
      </c>
      <c r="O439" s="35"/>
      <c r="P439" s="35"/>
      <c r="Q439" s="35"/>
      <c r="R439" s="14"/>
      <c r="S439" s="45">
        <v>536.71699999999998</v>
      </c>
      <c r="T439" s="35"/>
      <c r="U439" s="35"/>
    </row>
    <row r="440" spans="1:22" ht="38.25" x14ac:dyDescent="0.2">
      <c r="A440" s="1" t="s">
        <v>15</v>
      </c>
      <c r="B440" s="2" t="s">
        <v>16</v>
      </c>
      <c r="C440" s="2" t="s">
        <v>17</v>
      </c>
      <c r="D440" s="2" t="s">
        <v>18</v>
      </c>
      <c r="E440" s="2">
        <v>2020</v>
      </c>
      <c r="F440" s="2" t="s">
        <v>291</v>
      </c>
      <c r="G440" s="2" t="s">
        <v>1668</v>
      </c>
      <c r="H440" s="2" t="s">
        <v>1669</v>
      </c>
      <c r="I440" s="1" t="s">
        <v>14</v>
      </c>
      <c r="J440" s="1" t="s">
        <v>1115</v>
      </c>
      <c r="L440" s="34" t="s">
        <v>1670</v>
      </c>
      <c r="M440" s="35"/>
      <c r="N440" s="35">
        <v>543.56299999999999</v>
      </c>
      <c r="O440" s="35"/>
      <c r="P440" s="35"/>
      <c r="Q440" s="35"/>
      <c r="R440" s="14"/>
      <c r="S440" s="45">
        <v>514.428</v>
      </c>
      <c r="T440" s="35"/>
      <c r="U440" s="35"/>
    </row>
    <row r="441" spans="1:22" ht="38.25" x14ac:dyDescent="0.2">
      <c r="A441" s="1" t="s">
        <v>15</v>
      </c>
      <c r="B441" s="2" t="s">
        <v>16</v>
      </c>
      <c r="C441" s="2" t="s">
        <v>17</v>
      </c>
      <c r="D441" s="2" t="s">
        <v>18</v>
      </c>
      <c r="E441" s="2">
        <v>2020</v>
      </c>
      <c r="F441" s="2" t="s">
        <v>311</v>
      </c>
      <c r="G441" s="2" t="s">
        <v>1668</v>
      </c>
      <c r="H441" s="2" t="s">
        <v>1669</v>
      </c>
      <c r="I441" s="1" t="s">
        <v>14</v>
      </c>
      <c r="J441" s="1" t="s">
        <v>1259</v>
      </c>
      <c r="L441" s="34">
        <v>0.29099999999999998</v>
      </c>
      <c r="M441" s="35"/>
      <c r="N441" s="35">
        <v>588</v>
      </c>
      <c r="O441" s="35"/>
      <c r="P441" s="35"/>
      <c r="Q441" s="35"/>
      <c r="R441" s="14"/>
      <c r="S441" s="45">
        <v>468.02</v>
      </c>
      <c r="T441" s="35"/>
      <c r="U441" s="35"/>
    </row>
    <row r="442" spans="1:22" ht="51" x14ac:dyDescent="0.2">
      <c r="A442" s="1" t="s">
        <v>15</v>
      </c>
      <c r="B442" s="2" t="s">
        <v>16</v>
      </c>
      <c r="C442" s="2" t="s">
        <v>17</v>
      </c>
      <c r="D442" s="2" t="s">
        <v>18</v>
      </c>
      <c r="E442" s="2">
        <v>2020</v>
      </c>
      <c r="F442" s="2" t="s">
        <v>337</v>
      </c>
      <c r="G442" s="2" t="s">
        <v>1668</v>
      </c>
      <c r="H442" s="2" t="s">
        <v>1669</v>
      </c>
      <c r="I442" s="1" t="s">
        <v>14</v>
      </c>
      <c r="J442" s="1" t="s">
        <v>1362</v>
      </c>
      <c r="L442" s="34" t="s">
        <v>1670</v>
      </c>
      <c r="M442" s="35"/>
      <c r="N442" s="35">
        <v>538.96199999999999</v>
      </c>
      <c r="O442" s="35"/>
      <c r="P442" s="35"/>
      <c r="Q442" s="35"/>
      <c r="R442" s="14"/>
      <c r="S442" s="45">
        <v>495.71699999999998</v>
      </c>
      <c r="T442" s="35"/>
      <c r="U442" s="35"/>
    </row>
    <row r="443" spans="1:22" ht="38.25" x14ac:dyDescent="0.2">
      <c r="A443" s="1" t="s">
        <v>15</v>
      </c>
      <c r="B443" s="2" t="s">
        <v>16</v>
      </c>
      <c r="C443" s="2" t="s">
        <v>17</v>
      </c>
      <c r="D443" s="2" t="s">
        <v>18</v>
      </c>
      <c r="E443" s="2">
        <v>2020</v>
      </c>
      <c r="F443" s="2" t="s">
        <v>364</v>
      </c>
      <c r="G443" s="2" t="s">
        <v>1668</v>
      </c>
      <c r="H443" s="2" t="s">
        <v>1669</v>
      </c>
      <c r="I443" s="1" t="s">
        <v>14</v>
      </c>
      <c r="J443" s="1" t="s">
        <v>1582</v>
      </c>
      <c r="L443" s="34">
        <v>0.27800000000000002</v>
      </c>
      <c r="M443" s="35"/>
      <c r="N443" s="35">
        <v>571.30600000000004</v>
      </c>
      <c r="O443" s="35"/>
      <c r="P443" s="35"/>
      <c r="Q443" s="35"/>
      <c r="R443" s="14"/>
      <c r="S443" s="45">
        <v>472.49700000000001</v>
      </c>
      <c r="T443" s="35"/>
      <c r="U443" s="35"/>
    </row>
    <row r="444" spans="1:22" ht="38.25" x14ac:dyDescent="0.2">
      <c r="A444" s="1" t="s">
        <v>15</v>
      </c>
      <c r="B444" s="2" t="s">
        <v>16</v>
      </c>
      <c r="C444" s="2" t="s">
        <v>17</v>
      </c>
      <c r="D444" s="2" t="s">
        <v>18</v>
      </c>
      <c r="E444" s="2">
        <v>2020</v>
      </c>
      <c r="F444" s="2" t="s">
        <v>388</v>
      </c>
      <c r="G444" s="2" t="s">
        <v>1668</v>
      </c>
      <c r="H444" s="2" t="s">
        <v>1669</v>
      </c>
      <c r="I444" s="1" t="s">
        <v>14</v>
      </c>
      <c r="J444" s="1" t="s">
        <v>1598</v>
      </c>
      <c r="L444" s="34">
        <v>0.27100000000000002</v>
      </c>
      <c r="M444" s="35"/>
      <c r="N444" s="35">
        <v>562.49099999999999</v>
      </c>
      <c r="O444" s="35"/>
      <c r="P444" s="35"/>
      <c r="Q444" s="35"/>
      <c r="R444" s="14"/>
      <c r="S444" s="45">
        <v>481.99</v>
      </c>
      <c r="T444" s="35"/>
      <c r="U444" s="35"/>
    </row>
    <row r="445" spans="1:22" ht="102" x14ac:dyDescent="0.2">
      <c r="A445" s="1" t="s">
        <v>215</v>
      </c>
      <c r="B445" s="2" t="s">
        <v>196</v>
      </c>
      <c r="C445" s="2" t="s">
        <v>216</v>
      </c>
      <c r="D445" s="2" t="s">
        <v>197</v>
      </c>
      <c r="E445" s="2">
        <v>2020</v>
      </c>
      <c r="F445" s="2" t="s">
        <v>221</v>
      </c>
      <c r="G445" s="2" t="s">
        <v>1669</v>
      </c>
      <c r="H445" s="2" t="s">
        <v>1669</v>
      </c>
      <c r="I445" s="1" t="s">
        <v>816</v>
      </c>
      <c r="J445" s="1" t="s">
        <v>817</v>
      </c>
      <c r="L445" s="34">
        <v>0.34129999999999999</v>
      </c>
      <c r="M445" s="35"/>
      <c r="N445" s="35">
        <v>618.87</v>
      </c>
      <c r="O445" s="35"/>
      <c r="P445" s="35"/>
      <c r="Q445" s="35"/>
      <c r="R445" s="14"/>
      <c r="S445" s="14"/>
      <c r="T445" s="35"/>
      <c r="U445" s="35"/>
    </row>
    <row r="446" spans="1:22" ht="102" x14ac:dyDescent="0.2">
      <c r="A446" s="1" t="s">
        <v>215</v>
      </c>
      <c r="B446" s="2" t="s">
        <v>196</v>
      </c>
      <c r="C446" s="2" t="s">
        <v>216</v>
      </c>
      <c r="D446" s="2" t="s">
        <v>197</v>
      </c>
      <c r="E446" s="2">
        <v>2020</v>
      </c>
      <c r="F446" s="2" t="s">
        <v>256</v>
      </c>
      <c r="G446" s="2" t="s">
        <v>1669</v>
      </c>
      <c r="H446" s="2" t="s">
        <v>1669</v>
      </c>
      <c r="I446" s="1" t="s">
        <v>879</v>
      </c>
      <c r="J446" s="1" t="s">
        <v>880</v>
      </c>
      <c r="L446" s="34">
        <v>0.1966</v>
      </c>
      <c r="M446" s="35"/>
      <c r="N446" s="35">
        <v>330.38</v>
      </c>
      <c r="O446" s="35"/>
      <c r="P446" s="35"/>
      <c r="Q446" s="35"/>
      <c r="R446" s="14"/>
      <c r="S446" s="14"/>
      <c r="T446" s="35"/>
      <c r="U446" s="35"/>
    </row>
    <row r="447" spans="1:22" ht="63.75" x14ac:dyDescent="0.2">
      <c r="A447" s="1" t="s">
        <v>215</v>
      </c>
      <c r="B447" s="2" t="s">
        <v>196</v>
      </c>
      <c r="C447" s="2" t="s">
        <v>216</v>
      </c>
      <c r="D447" s="2" t="s">
        <v>197</v>
      </c>
      <c r="E447" s="2">
        <v>2020</v>
      </c>
      <c r="F447" s="2" t="s">
        <v>276</v>
      </c>
      <c r="G447" s="2" t="s">
        <v>1669</v>
      </c>
      <c r="H447" s="2" t="s">
        <v>1669</v>
      </c>
      <c r="I447" s="1" t="s">
        <v>958</v>
      </c>
      <c r="J447" s="1" t="s">
        <v>959</v>
      </c>
      <c r="L447" s="34">
        <v>0.29389999999999999</v>
      </c>
      <c r="M447" s="35"/>
      <c r="N447" s="35">
        <v>350.04</v>
      </c>
      <c r="O447" s="35"/>
      <c r="P447" s="35"/>
      <c r="Q447" s="35"/>
      <c r="R447" s="14"/>
      <c r="S447" s="14"/>
      <c r="T447" s="35"/>
      <c r="U447" s="35"/>
    </row>
    <row r="448" spans="1:22" ht="38.25" x14ac:dyDescent="0.2">
      <c r="A448" s="1" t="s">
        <v>171</v>
      </c>
      <c r="B448" s="2" t="s">
        <v>48</v>
      </c>
      <c r="C448" s="2" t="s">
        <v>172</v>
      </c>
      <c r="D448" s="2" t="s">
        <v>173</v>
      </c>
      <c r="E448" s="2">
        <v>2020</v>
      </c>
      <c r="F448" s="2" t="s">
        <v>13</v>
      </c>
      <c r="G448" s="2" t="s">
        <v>1667</v>
      </c>
      <c r="H448" s="2" t="s">
        <v>1669</v>
      </c>
      <c r="I448" s="1" t="s">
        <v>14</v>
      </c>
      <c r="J448" s="1" t="s">
        <v>520</v>
      </c>
      <c r="L448" s="5">
        <v>0.183</v>
      </c>
      <c r="M448" s="35"/>
      <c r="N448" s="35">
        <v>304.62</v>
      </c>
      <c r="O448" s="35"/>
      <c r="P448" s="35"/>
      <c r="Q448" s="35"/>
      <c r="R448" s="35"/>
      <c r="S448" s="35"/>
      <c r="T448" s="35"/>
      <c r="U448" s="35"/>
      <c r="V448" s="60" t="s">
        <v>1681</v>
      </c>
    </row>
    <row r="449" spans="1:22" ht="38.25" x14ac:dyDescent="0.2">
      <c r="A449" s="1" t="s">
        <v>171</v>
      </c>
      <c r="B449" s="2" t="s">
        <v>48</v>
      </c>
      <c r="C449" s="2" t="s">
        <v>172</v>
      </c>
      <c r="D449" s="2" t="s">
        <v>173</v>
      </c>
      <c r="E449" s="2">
        <v>2020</v>
      </c>
      <c r="F449" s="2" t="s">
        <v>188</v>
      </c>
      <c r="G449" s="2" t="s">
        <v>1667</v>
      </c>
      <c r="H449" s="2" t="s">
        <v>1669</v>
      </c>
      <c r="I449" s="1" t="s">
        <v>14</v>
      </c>
      <c r="J449" s="1" t="s">
        <v>556</v>
      </c>
      <c r="L449" s="34">
        <v>0.1852</v>
      </c>
      <c r="M449" s="35"/>
      <c r="N449" s="35">
        <v>218.33</v>
      </c>
      <c r="O449" s="35"/>
      <c r="P449" s="35"/>
      <c r="Q449" s="35"/>
      <c r="R449" s="35"/>
      <c r="S449" s="35"/>
      <c r="T449" s="35"/>
      <c r="U449" s="35"/>
      <c r="V449" s="60" t="s">
        <v>1681</v>
      </c>
    </row>
    <row r="450" spans="1:22" ht="38.25" x14ac:dyDescent="0.2">
      <c r="A450" s="1" t="s">
        <v>171</v>
      </c>
      <c r="B450" s="2" t="s">
        <v>48</v>
      </c>
      <c r="C450" s="2" t="s">
        <v>172</v>
      </c>
      <c r="D450" s="2" t="s">
        <v>173</v>
      </c>
      <c r="E450" s="2">
        <v>2020</v>
      </c>
      <c r="F450" s="2" t="s">
        <v>203</v>
      </c>
      <c r="G450" s="2" t="s">
        <v>1667</v>
      </c>
      <c r="H450" s="2" t="s">
        <v>1669</v>
      </c>
      <c r="I450" s="1" t="s">
        <v>14</v>
      </c>
      <c r="J450" s="1" t="s">
        <v>623</v>
      </c>
      <c r="L450" s="34">
        <v>0.20449999999999999</v>
      </c>
      <c r="M450" s="35"/>
      <c r="N450" s="35">
        <v>217.7</v>
      </c>
      <c r="O450" s="35"/>
      <c r="P450" s="35"/>
      <c r="Q450" s="35"/>
      <c r="R450" s="14"/>
      <c r="S450" s="35"/>
      <c r="T450" s="35"/>
      <c r="U450" s="35"/>
      <c r="V450" s="60" t="s">
        <v>1681</v>
      </c>
    </row>
    <row r="451" spans="1:22" ht="38.25" x14ac:dyDescent="0.2">
      <c r="A451" s="1" t="s">
        <v>171</v>
      </c>
      <c r="B451" s="2" t="s">
        <v>48</v>
      </c>
      <c r="C451" s="2" t="s">
        <v>172</v>
      </c>
      <c r="D451" s="2" t="s">
        <v>173</v>
      </c>
      <c r="E451" s="2">
        <v>2020</v>
      </c>
      <c r="F451" s="2" t="s">
        <v>211</v>
      </c>
      <c r="G451" s="2" t="s">
        <v>1667</v>
      </c>
      <c r="H451" s="2" t="s">
        <v>1669</v>
      </c>
      <c r="I451" s="1" t="s">
        <v>14</v>
      </c>
      <c r="J451" s="1" t="s">
        <v>752</v>
      </c>
      <c r="L451" s="34">
        <v>0.19700000000000001</v>
      </c>
      <c r="M451" s="35"/>
      <c r="N451" s="35">
        <v>257.03800000000001</v>
      </c>
      <c r="O451" s="35"/>
      <c r="P451" s="35"/>
      <c r="Q451" s="35"/>
      <c r="R451" s="14"/>
      <c r="S451" s="35"/>
      <c r="T451" s="35"/>
      <c r="U451" s="35"/>
      <c r="V451" s="60" t="s">
        <v>1681</v>
      </c>
    </row>
    <row r="452" spans="1:22" ht="38.25" x14ac:dyDescent="0.2">
      <c r="A452" s="1" t="s">
        <v>171</v>
      </c>
      <c r="B452" s="2" t="s">
        <v>48</v>
      </c>
      <c r="C452" s="2" t="s">
        <v>172</v>
      </c>
      <c r="D452" s="2" t="s">
        <v>173</v>
      </c>
      <c r="E452" s="2">
        <v>2020</v>
      </c>
      <c r="F452" s="2" t="s">
        <v>221</v>
      </c>
      <c r="G452" s="2" t="s">
        <v>1667</v>
      </c>
      <c r="H452" s="2" t="s">
        <v>1669</v>
      </c>
      <c r="I452" s="1" t="s">
        <v>14</v>
      </c>
      <c r="J452" s="1" t="s">
        <v>854</v>
      </c>
      <c r="L452" s="34">
        <v>0.189</v>
      </c>
      <c r="M452" s="35"/>
      <c r="N452" s="35">
        <v>219.82</v>
      </c>
      <c r="O452" s="35"/>
      <c r="P452" s="35"/>
      <c r="Q452" s="35"/>
      <c r="R452" s="14"/>
      <c r="S452" s="14"/>
      <c r="T452" s="35"/>
      <c r="U452" s="35"/>
      <c r="V452" s="60" t="s">
        <v>1681</v>
      </c>
    </row>
    <row r="453" spans="1:22" ht="38.25" x14ac:dyDescent="0.2">
      <c r="A453" s="1" t="s">
        <v>171</v>
      </c>
      <c r="B453" s="2" t="s">
        <v>48</v>
      </c>
      <c r="C453" s="2" t="s">
        <v>172</v>
      </c>
      <c r="D453" s="2" t="s">
        <v>173</v>
      </c>
      <c r="E453" s="2">
        <v>2020</v>
      </c>
      <c r="F453" s="2" t="s">
        <v>256</v>
      </c>
      <c r="G453" s="2" t="s">
        <v>1667</v>
      </c>
      <c r="H453" s="2" t="s">
        <v>1669</v>
      </c>
      <c r="I453" s="1" t="s">
        <v>14</v>
      </c>
      <c r="J453" s="1" t="s">
        <v>884</v>
      </c>
      <c r="L453" s="34">
        <v>0.188</v>
      </c>
      <c r="M453" s="35"/>
      <c r="N453" s="35">
        <v>346.75</v>
      </c>
      <c r="O453" s="35"/>
      <c r="P453" s="35"/>
      <c r="Q453" s="35"/>
      <c r="R453" s="14"/>
      <c r="S453" s="14"/>
      <c r="T453" s="35"/>
      <c r="U453" s="35"/>
      <c r="V453" s="60" t="s">
        <v>1681</v>
      </c>
    </row>
    <row r="454" spans="1:22" ht="38.25" x14ac:dyDescent="0.2">
      <c r="A454" s="1" t="s">
        <v>171</v>
      </c>
      <c r="B454" s="2" t="s">
        <v>48</v>
      </c>
      <c r="C454" s="2" t="s">
        <v>172</v>
      </c>
      <c r="D454" s="2" t="s">
        <v>173</v>
      </c>
      <c r="E454" s="2">
        <v>2020</v>
      </c>
      <c r="F454" s="2" t="s">
        <v>276</v>
      </c>
      <c r="G454" s="2" t="s">
        <v>1667</v>
      </c>
      <c r="H454" s="2" t="s">
        <v>1669</v>
      </c>
      <c r="I454" s="1" t="s">
        <v>14</v>
      </c>
      <c r="J454" s="1" t="s">
        <v>1029</v>
      </c>
      <c r="L454" s="34">
        <v>0.185</v>
      </c>
      <c r="M454" s="35"/>
      <c r="N454" s="35">
        <v>282.62</v>
      </c>
      <c r="O454" s="35"/>
      <c r="P454" s="35"/>
      <c r="Q454" s="35"/>
      <c r="R454" s="14"/>
      <c r="S454" s="14"/>
      <c r="T454" s="35"/>
      <c r="U454" s="35"/>
      <c r="V454" s="60" t="s">
        <v>1681</v>
      </c>
    </row>
    <row r="455" spans="1:22" ht="38.25" x14ac:dyDescent="0.2">
      <c r="A455" s="1" t="s">
        <v>171</v>
      </c>
      <c r="B455" s="2" t="s">
        <v>48</v>
      </c>
      <c r="C455" s="2" t="s">
        <v>172</v>
      </c>
      <c r="D455" s="2" t="s">
        <v>173</v>
      </c>
      <c r="E455" s="2">
        <v>2020</v>
      </c>
      <c r="F455" s="2" t="s">
        <v>291</v>
      </c>
      <c r="G455" s="2" t="s">
        <v>1667</v>
      </c>
      <c r="H455" s="2" t="s">
        <v>1669</v>
      </c>
      <c r="I455" s="1" t="s">
        <v>14</v>
      </c>
      <c r="J455" s="1" t="s">
        <v>1105</v>
      </c>
      <c r="L455" s="34">
        <v>0.186</v>
      </c>
      <c r="M455" s="35"/>
      <c r="N455" s="35">
        <v>212.16</v>
      </c>
      <c r="O455" s="35"/>
      <c r="P455" s="35"/>
      <c r="Q455" s="35"/>
      <c r="R455" s="14"/>
      <c r="S455" s="14"/>
      <c r="T455" s="35"/>
      <c r="U455" s="35"/>
      <c r="V455" s="60" t="s">
        <v>1681</v>
      </c>
    </row>
    <row r="456" spans="1:22" ht="38.25" x14ac:dyDescent="0.2">
      <c r="A456" s="1" t="s">
        <v>171</v>
      </c>
      <c r="B456" s="2" t="s">
        <v>48</v>
      </c>
      <c r="C456" s="2" t="s">
        <v>172</v>
      </c>
      <c r="D456" s="2" t="s">
        <v>173</v>
      </c>
      <c r="E456" s="2">
        <v>2020</v>
      </c>
      <c r="F456" s="2" t="s">
        <v>311</v>
      </c>
      <c r="G456" s="2" t="s">
        <v>1667</v>
      </c>
      <c r="H456" s="2" t="s">
        <v>1669</v>
      </c>
      <c r="I456" s="1" t="s">
        <v>14</v>
      </c>
      <c r="J456" s="1" t="s">
        <v>1237</v>
      </c>
      <c r="L456" s="34">
        <v>0.17780000000000001</v>
      </c>
      <c r="M456" s="35"/>
      <c r="N456" s="39">
        <v>229.81</v>
      </c>
      <c r="O456" s="35"/>
      <c r="P456" s="35"/>
      <c r="Q456" s="35"/>
      <c r="R456" s="14"/>
      <c r="S456" s="14"/>
      <c r="T456" s="35"/>
      <c r="U456" s="35"/>
      <c r="V456" s="60" t="s">
        <v>1681</v>
      </c>
    </row>
    <row r="457" spans="1:22" ht="38.25" x14ac:dyDescent="0.2">
      <c r="A457" s="1" t="s">
        <v>171</v>
      </c>
      <c r="B457" s="2" t="s">
        <v>48</v>
      </c>
      <c r="C457" s="2" t="s">
        <v>172</v>
      </c>
      <c r="D457" s="2" t="s">
        <v>173</v>
      </c>
      <c r="E457" s="2">
        <v>2020</v>
      </c>
      <c r="F457" s="2" t="s">
        <v>337</v>
      </c>
      <c r="G457" s="2" t="s">
        <v>1667</v>
      </c>
      <c r="H457" s="2" t="s">
        <v>1669</v>
      </c>
      <c r="I457" s="1" t="s">
        <v>14</v>
      </c>
      <c r="J457" s="1" t="s">
        <v>1468</v>
      </c>
      <c r="L457" s="34">
        <v>0.17899999999999999</v>
      </c>
      <c r="M457" s="35"/>
      <c r="N457" s="35">
        <v>217.97</v>
      </c>
      <c r="O457" s="35"/>
      <c r="P457" s="35"/>
      <c r="Q457" s="35"/>
      <c r="R457" s="14"/>
      <c r="S457" s="14"/>
      <c r="T457" s="35"/>
      <c r="U457" s="35"/>
      <c r="V457" s="60" t="s">
        <v>1681</v>
      </c>
    </row>
    <row r="458" spans="1:22" ht="38.25" x14ac:dyDescent="0.2">
      <c r="A458" s="1" t="s">
        <v>171</v>
      </c>
      <c r="B458" s="2" t="s">
        <v>48</v>
      </c>
      <c r="C458" s="2" t="s">
        <v>172</v>
      </c>
      <c r="D458" s="2" t="s">
        <v>173</v>
      </c>
      <c r="E458" s="2">
        <v>2020</v>
      </c>
      <c r="F458" s="2" t="s">
        <v>364</v>
      </c>
      <c r="G458" s="2" t="s">
        <v>1667</v>
      </c>
      <c r="H458" s="2" t="s">
        <v>1669</v>
      </c>
      <c r="I458" s="1" t="s">
        <v>14</v>
      </c>
      <c r="J458" s="1" t="s">
        <v>1488</v>
      </c>
      <c r="L458" s="34">
        <v>0.17199999999999999</v>
      </c>
      <c r="M458" s="35"/>
      <c r="N458" s="35">
        <v>218.99</v>
      </c>
      <c r="O458" s="35"/>
      <c r="P458" s="35"/>
      <c r="Q458" s="35"/>
      <c r="R458" s="14"/>
      <c r="S458" s="14"/>
      <c r="T458" s="35"/>
      <c r="U458" s="35"/>
      <c r="V458" s="60" t="s">
        <v>1681</v>
      </c>
    </row>
    <row r="459" spans="1:22" ht="38.25" x14ac:dyDescent="0.2">
      <c r="A459" s="1" t="s">
        <v>171</v>
      </c>
      <c r="B459" s="2" t="s">
        <v>48</v>
      </c>
      <c r="C459" s="2" t="s">
        <v>172</v>
      </c>
      <c r="D459" s="2" t="s">
        <v>173</v>
      </c>
      <c r="E459" s="2">
        <v>2020</v>
      </c>
      <c r="F459" s="2" t="s">
        <v>388</v>
      </c>
      <c r="G459" s="2" t="s">
        <v>1667</v>
      </c>
      <c r="H459" s="2" t="s">
        <v>1669</v>
      </c>
      <c r="I459" s="1" t="s">
        <v>14</v>
      </c>
      <c r="J459" s="1" t="s">
        <v>1657</v>
      </c>
      <c r="L459" s="34">
        <v>0.16700000000000001</v>
      </c>
      <c r="M459" s="35"/>
      <c r="N459" s="35">
        <v>232.18</v>
      </c>
      <c r="O459" s="35"/>
      <c r="P459" s="35"/>
      <c r="Q459" s="35"/>
      <c r="R459" s="35"/>
      <c r="S459" s="35"/>
      <c r="T459" s="35"/>
      <c r="U459" s="35"/>
      <c r="V459" s="60" t="s">
        <v>1681</v>
      </c>
    </row>
    <row r="460" spans="1:22" ht="38.25" x14ac:dyDescent="0.2">
      <c r="A460" s="1" t="s">
        <v>420</v>
      </c>
      <c r="B460" s="2" t="s">
        <v>196</v>
      </c>
      <c r="C460" s="2" t="s">
        <v>172</v>
      </c>
      <c r="D460" s="2" t="s">
        <v>173</v>
      </c>
      <c r="E460" s="2">
        <v>2020</v>
      </c>
      <c r="F460" s="2" t="s">
        <v>364</v>
      </c>
      <c r="G460" s="2" t="s">
        <v>1669</v>
      </c>
      <c r="H460" s="2" t="s">
        <v>1668</v>
      </c>
      <c r="I460" s="1" t="s">
        <v>1523</v>
      </c>
      <c r="J460" s="1" t="s">
        <v>14</v>
      </c>
      <c r="L460" s="34"/>
      <c r="M460" s="35"/>
      <c r="N460" s="35"/>
      <c r="O460" s="35"/>
      <c r="P460" s="35"/>
      <c r="Q460" s="35"/>
      <c r="R460" s="14"/>
      <c r="S460" s="14"/>
      <c r="T460" s="35"/>
      <c r="U460" s="35"/>
      <c r="V460" s="60" t="s">
        <v>1706</v>
      </c>
    </row>
    <row r="461" spans="1:22" ht="51" x14ac:dyDescent="0.2">
      <c r="A461" s="1" t="s">
        <v>113</v>
      </c>
      <c r="B461" s="2" t="s">
        <v>38</v>
      </c>
      <c r="C461" s="2" t="s">
        <v>114</v>
      </c>
      <c r="D461" s="2" t="s">
        <v>115</v>
      </c>
      <c r="E461" s="2">
        <v>2020</v>
      </c>
      <c r="F461" s="2" t="s">
        <v>13</v>
      </c>
      <c r="G461" s="2" t="s">
        <v>1667</v>
      </c>
      <c r="H461" s="2" t="s">
        <v>1669</v>
      </c>
      <c r="I461" s="1" t="s">
        <v>14</v>
      </c>
      <c r="J461" s="1" t="s">
        <v>518</v>
      </c>
      <c r="L461" s="34">
        <v>0.17699999999999999</v>
      </c>
      <c r="M461" s="35"/>
      <c r="N461" s="35">
        <v>81.5</v>
      </c>
      <c r="O461" s="35"/>
      <c r="P461" s="35"/>
      <c r="Q461" s="35"/>
      <c r="R461" s="35"/>
      <c r="S461" s="35"/>
      <c r="T461" s="35"/>
      <c r="U461" s="35"/>
    </row>
    <row r="462" spans="1:22" ht="63.75" x14ac:dyDescent="0.2">
      <c r="A462" s="1" t="s">
        <v>113</v>
      </c>
      <c r="B462" s="2" t="s">
        <v>38</v>
      </c>
      <c r="C462" s="2" t="s">
        <v>114</v>
      </c>
      <c r="D462" s="2" t="s">
        <v>115</v>
      </c>
      <c r="E462" s="2">
        <v>2020</v>
      </c>
      <c r="F462" s="2" t="s">
        <v>188</v>
      </c>
      <c r="G462" s="2" t="s">
        <v>1667</v>
      </c>
      <c r="H462" s="2" t="s">
        <v>1669</v>
      </c>
      <c r="I462" s="1" t="s">
        <v>14</v>
      </c>
      <c r="J462" s="1" t="s">
        <v>567</v>
      </c>
      <c r="L462" s="34">
        <v>0.17860000000000001</v>
      </c>
      <c r="M462" s="35"/>
      <c r="N462" s="35">
        <v>97.12</v>
      </c>
      <c r="O462" s="35"/>
      <c r="P462" s="35"/>
      <c r="Q462" s="35"/>
      <c r="R462" s="35"/>
      <c r="S462" s="35"/>
      <c r="T462" s="35"/>
      <c r="U462" s="35"/>
    </row>
    <row r="463" spans="1:22" ht="51" x14ac:dyDescent="0.2">
      <c r="A463" s="1" t="s">
        <v>113</v>
      </c>
      <c r="B463" s="2" t="s">
        <v>38</v>
      </c>
      <c r="C463" s="2" t="s">
        <v>114</v>
      </c>
      <c r="D463" s="2" t="s">
        <v>115</v>
      </c>
      <c r="E463" s="2">
        <v>2020</v>
      </c>
      <c r="F463" s="2" t="s">
        <v>203</v>
      </c>
      <c r="G463" s="2" t="s">
        <v>1667</v>
      </c>
      <c r="H463" s="2" t="s">
        <v>1669</v>
      </c>
      <c r="I463" s="1" t="s">
        <v>14</v>
      </c>
      <c r="J463" s="1" t="s">
        <v>620</v>
      </c>
      <c r="L463" s="34">
        <v>0.17419999999999999</v>
      </c>
      <c r="M463" s="35"/>
      <c r="N463" s="35">
        <v>80.930000000000007</v>
      </c>
      <c r="O463" s="35"/>
      <c r="P463" s="35"/>
      <c r="Q463" s="35"/>
      <c r="R463" s="14"/>
      <c r="S463" s="35"/>
      <c r="T463" s="35"/>
      <c r="U463" s="35"/>
    </row>
    <row r="464" spans="1:22" ht="51" x14ac:dyDescent="0.2">
      <c r="A464" s="1" t="s">
        <v>113</v>
      </c>
      <c r="B464" s="2" t="s">
        <v>38</v>
      </c>
      <c r="C464" s="2" t="s">
        <v>114</v>
      </c>
      <c r="D464" s="2" t="s">
        <v>115</v>
      </c>
      <c r="E464" s="2">
        <v>2020</v>
      </c>
      <c r="F464" s="2" t="s">
        <v>211</v>
      </c>
      <c r="G464" s="2" t="s">
        <v>1667</v>
      </c>
      <c r="H464" s="2" t="s">
        <v>1669</v>
      </c>
      <c r="I464" s="1" t="s">
        <v>14</v>
      </c>
      <c r="J464" s="1" t="s">
        <v>704</v>
      </c>
      <c r="L464" s="34">
        <v>0.1772</v>
      </c>
      <c r="M464" s="35"/>
      <c r="N464" s="35">
        <v>77.23</v>
      </c>
      <c r="O464" s="35"/>
      <c r="P464" s="35"/>
      <c r="Q464" s="35"/>
      <c r="R464" s="14"/>
      <c r="S464" s="35"/>
      <c r="T464" s="35"/>
      <c r="U464" s="35"/>
    </row>
    <row r="465" spans="1:22" ht="63.75" x14ac:dyDescent="0.2">
      <c r="A465" s="1" t="s">
        <v>113</v>
      </c>
      <c r="B465" s="2" t="s">
        <v>38</v>
      </c>
      <c r="C465" s="2" t="s">
        <v>114</v>
      </c>
      <c r="D465" s="2" t="s">
        <v>115</v>
      </c>
      <c r="E465" s="2">
        <v>2020</v>
      </c>
      <c r="F465" s="2" t="s">
        <v>221</v>
      </c>
      <c r="G465" s="2" t="s">
        <v>1667</v>
      </c>
      <c r="H465" s="2" t="s">
        <v>1669</v>
      </c>
      <c r="I465" s="1" t="s">
        <v>14</v>
      </c>
      <c r="J465" s="1" t="s">
        <v>843</v>
      </c>
      <c r="L465" s="34">
        <v>0.18459999999999999</v>
      </c>
      <c r="M465" s="35"/>
      <c r="N465" s="35">
        <v>77.23</v>
      </c>
      <c r="O465" s="35"/>
      <c r="P465" s="35"/>
      <c r="Q465" s="35"/>
      <c r="R465" s="14"/>
      <c r="S465" s="14"/>
      <c r="T465" s="35"/>
      <c r="U465" s="35"/>
    </row>
    <row r="466" spans="1:22" ht="51" x14ac:dyDescent="0.2">
      <c r="A466" s="1" t="s">
        <v>113</v>
      </c>
      <c r="B466" s="2" t="s">
        <v>38</v>
      </c>
      <c r="C466" s="2" t="s">
        <v>114</v>
      </c>
      <c r="D466" s="2" t="s">
        <v>115</v>
      </c>
      <c r="E466" s="2">
        <v>2020</v>
      </c>
      <c r="F466" s="2" t="s">
        <v>256</v>
      </c>
      <c r="G466" s="2" t="s">
        <v>1667</v>
      </c>
      <c r="H466" s="2" t="s">
        <v>1669</v>
      </c>
      <c r="I466" s="1" t="s">
        <v>14</v>
      </c>
      <c r="J466" s="1" t="s">
        <v>911</v>
      </c>
      <c r="L466" s="34">
        <v>0.17899999999999999</v>
      </c>
      <c r="M466" s="35"/>
      <c r="N466" s="35">
        <v>104.89</v>
      </c>
      <c r="O466" s="35"/>
      <c r="P466" s="35"/>
      <c r="Q466" s="35"/>
      <c r="R466" s="14"/>
      <c r="S466" s="14"/>
      <c r="T466" s="35"/>
      <c r="U466" s="35"/>
    </row>
    <row r="467" spans="1:22" ht="63.75" x14ac:dyDescent="0.2">
      <c r="A467" s="1" t="s">
        <v>113</v>
      </c>
      <c r="B467" s="2" t="s">
        <v>38</v>
      </c>
      <c r="C467" s="2" t="s">
        <v>114</v>
      </c>
      <c r="D467" s="2" t="s">
        <v>115</v>
      </c>
      <c r="E467" s="2">
        <v>2020</v>
      </c>
      <c r="F467" s="2" t="s">
        <v>276</v>
      </c>
      <c r="G467" s="2" t="s">
        <v>1667</v>
      </c>
      <c r="H467" s="2" t="s">
        <v>1669</v>
      </c>
      <c r="I467" s="1" t="s">
        <v>14</v>
      </c>
      <c r="J467" s="1" t="s">
        <v>974</v>
      </c>
      <c r="L467" s="34">
        <v>0.1857</v>
      </c>
      <c r="M467" s="35"/>
      <c r="N467" s="35">
        <v>134.06</v>
      </c>
      <c r="O467" s="35"/>
      <c r="P467" s="35"/>
      <c r="Q467" s="35"/>
      <c r="R467" s="14"/>
      <c r="S467" s="14"/>
      <c r="T467" s="35"/>
      <c r="U467" s="35"/>
    </row>
    <row r="468" spans="1:22" ht="38.25" x14ac:dyDescent="0.2">
      <c r="A468" s="1" t="s">
        <v>113</v>
      </c>
      <c r="B468" s="2" t="s">
        <v>38</v>
      </c>
      <c r="C468" s="2" t="s">
        <v>114</v>
      </c>
      <c r="D468" s="2" t="s">
        <v>115</v>
      </c>
      <c r="E468" s="2">
        <v>2020</v>
      </c>
      <c r="F468" s="2" t="s">
        <v>291</v>
      </c>
      <c r="G468" s="2" t="s">
        <v>1667</v>
      </c>
      <c r="H468" s="2" t="s">
        <v>1669</v>
      </c>
      <c r="I468" s="1" t="s">
        <v>14</v>
      </c>
      <c r="J468" s="1" t="s">
        <v>1085</v>
      </c>
      <c r="L468" s="34">
        <v>0.1832</v>
      </c>
      <c r="M468" s="35"/>
      <c r="N468" s="35">
        <v>112.8</v>
      </c>
      <c r="O468" s="35"/>
      <c r="P468" s="35"/>
      <c r="Q468" s="35"/>
      <c r="R468" s="14"/>
      <c r="S468" s="14"/>
      <c r="T468" s="35"/>
      <c r="U468" s="35"/>
    </row>
    <row r="469" spans="1:22" ht="51" x14ac:dyDescent="0.2">
      <c r="A469" s="1" t="s">
        <v>113</v>
      </c>
      <c r="B469" s="2" t="s">
        <v>38</v>
      </c>
      <c r="C469" s="2" t="s">
        <v>114</v>
      </c>
      <c r="D469" s="2" t="s">
        <v>115</v>
      </c>
      <c r="E469" s="2">
        <v>2020</v>
      </c>
      <c r="F469" s="2" t="s">
        <v>311</v>
      </c>
      <c r="G469" s="2" t="s">
        <v>1667</v>
      </c>
      <c r="H469" s="2" t="s">
        <v>1669</v>
      </c>
      <c r="I469" s="1" t="s">
        <v>14</v>
      </c>
      <c r="J469" s="1" t="s">
        <v>1228</v>
      </c>
      <c r="L469" s="34">
        <v>0.17430000000000001</v>
      </c>
      <c r="M469" s="35"/>
      <c r="N469" s="35">
        <v>56.31</v>
      </c>
      <c r="O469" s="35"/>
      <c r="P469" s="35"/>
      <c r="Q469" s="35"/>
      <c r="R469" s="14"/>
      <c r="S469" s="14"/>
      <c r="T469" s="35"/>
      <c r="U469" s="35"/>
    </row>
    <row r="470" spans="1:22" ht="51" x14ac:dyDescent="0.2">
      <c r="A470" s="1" t="s">
        <v>113</v>
      </c>
      <c r="B470" s="2" t="s">
        <v>38</v>
      </c>
      <c r="C470" s="2" t="s">
        <v>114</v>
      </c>
      <c r="D470" s="2" t="s">
        <v>115</v>
      </c>
      <c r="E470" s="2">
        <v>2020</v>
      </c>
      <c r="F470" s="2" t="s">
        <v>337</v>
      </c>
      <c r="G470" s="2" t="s">
        <v>1667</v>
      </c>
      <c r="H470" s="2" t="s">
        <v>1669</v>
      </c>
      <c r="I470" s="1" t="s">
        <v>14</v>
      </c>
      <c r="J470" s="1" t="s">
        <v>1358</v>
      </c>
      <c r="L470" s="34">
        <v>0.17449999999999999</v>
      </c>
      <c r="M470" s="35"/>
      <c r="N470" s="35">
        <v>67.58</v>
      </c>
      <c r="O470" s="35"/>
      <c r="P470" s="35"/>
      <c r="Q470" s="35"/>
      <c r="R470" s="14"/>
      <c r="S470" s="14"/>
      <c r="T470" s="35"/>
      <c r="U470" s="35"/>
    </row>
    <row r="471" spans="1:22" ht="51" x14ac:dyDescent="0.2">
      <c r="A471" s="1" t="s">
        <v>113</v>
      </c>
      <c r="B471" s="2" t="s">
        <v>38</v>
      </c>
      <c r="C471" s="2" t="s">
        <v>114</v>
      </c>
      <c r="D471" s="2" t="s">
        <v>115</v>
      </c>
      <c r="E471" s="2">
        <v>2020</v>
      </c>
      <c r="F471" s="2" t="s">
        <v>364</v>
      </c>
      <c r="G471" s="2" t="s">
        <v>1667</v>
      </c>
      <c r="H471" s="2" t="s">
        <v>1669</v>
      </c>
      <c r="I471" s="1" t="s">
        <v>14</v>
      </c>
      <c r="J471" s="1" t="s">
        <v>1566</v>
      </c>
      <c r="L471" s="34">
        <v>0.18099999999999999</v>
      </c>
      <c r="M471" s="35"/>
      <c r="N471" s="35">
        <v>85.12</v>
      </c>
      <c r="O471" s="35"/>
      <c r="P471" s="35"/>
      <c r="Q471" s="35"/>
      <c r="R471" s="14"/>
      <c r="S471" s="14"/>
      <c r="T471" s="35"/>
      <c r="U471" s="35"/>
    </row>
    <row r="472" spans="1:22" ht="51" x14ac:dyDescent="0.2">
      <c r="A472" s="1" t="s">
        <v>113</v>
      </c>
      <c r="B472" s="2" t="s">
        <v>38</v>
      </c>
      <c r="C472" s="2" t="s">
        <v>114</v>
      </c>
      <c r="D472" s="2" t="s">
        <v>115</v>
      </c>
      <c r="E472" s="2">
        <v>2020</v>
      </c>
      <c r="F472" s="2" t="s">
        <v>388</v>
      </c>
      <c r="G472" s="2" t="s">
        <v>1667</v>
      </c>
      <c r="H472" s="2" t="s">
        <v>1669</v>
      </c>
      <c r="I472" s="1" t="s">
        <v>14</v>
      </c>
      <c r="J472" s="1" t="s">
        <v>1607</v>
      </c>
      <c r="L472" s="34">
        <v>0.16500000000000001</v>
      </c>
      <c r="M472" s="35"/>
      <c r="N472" s="35">
        <v>78.72</v>
      </c>
      <c r="O472" s="35"/>
      <c r="P472" s="35"/>
      <c r="Q472" s="35"/>
      <c r="R472" s="35"/>
      <c r="S472" s="35"/>
      <c r="T472" s="35"/>
      <c r="U472" s="35"/>
    </row>
    <row r="473" spans="1:22" ht="102" x14ac:dyDescent="0.2">
      <c r="A473" s="1" t="s">
        <v>1274</v>
      </c>
      <c r="B473" s="2" t="s">
        <v>222</v>
      </c>
      <c r="C473" s="2" t="s">
        <v>1275</v>
      </c>
      <c r="D473" s="2" t="s">
        <v>423</v>
      </c>
      <c r="E473" s="2">
        <v>2020</v>
      </c>
      <c r="F473" s="2" t="s">
        <v>311</v>
      </c>
      <c r="G473" s="2" t="s">
        <v>1668</v>
      </c>
      <c r="H473" s="2" t="s">
        <v>1669</v>
      </c>
      <c r="I473" s="1" t="s">
        <v>14</v>
      </c>
      <c r="J473" s="1" t="s">
        <v>1276</v>
      </c>
      <c r="L473" s="34">
        <v>0.28999999999999998</v>
      </c>
      <c r="M473" s="35"/>
      <c r="N473" s="35"/>
      <c r="O473" s="35">
        <f>45*0.8</f>
        <v>36</v>
      </c>
      <c r="P473" s="35"/>
      <c r="Q473" s="35"/>
      <c r="R473" s="14"/>
      <c r="S473" s="14"/>
      <c r="T473" s="35"/>
      <c r="U473" s="35"/>
      <c r="V473" s="60" t="s">
        <v>1680</v>
      </c>
    </row>
    <row r="474" spans="1:22" ht="76.5" x14ac:dyDescent="0.2">
      <c r="A474" s="1" t="s">
        <v>360</v>
      </c>
      <c r="B474" s="2" t="s">
        <v>196</v>
      </c>
      <c r="C474" s="2" t="s">
        <v>361</v>
      </c>
      <c r="D474" s="2" t="s">
        <v>325</v>
      </c>
      <c r="E474" s="2">
        <v>2020</v>
      </c>
      <c r="F474" s="2" t="s">
        <v>291</v>
      </c>
      <c r="G474" s="2" t="s">
        <v>1669</v>
      </c>
      <c r="H474" s="2" t="s">
        <v>1669</v>
      </c>
      <c r="I474" s="1" t="s">
        <v>1174</v>
      </c>
      <c r="J474" s="1" t="s">
        <v>1175</v>
      </c>
      <c r="L474" s="34" t="s">
        <v>1670</v>
      </c>
      <c r="M474" s="35"/>
      <c r="N474" s="35">
        <v>1679</v>
      </c>
      <c r="O474" s="35"/>
      <c r="P474" s="35"/>
      <c r="Q474" s="35"/>
      <c r="R474" s="14"/>
      <c r="S474" s="14"/>
      <c r="T474" s="35"/>
      <c r="U474" s="35"/>
      <c r="V474" s="60" t="s">
        <v>1699</v>
      </c>
    </row>
    <row r="475" spans="1:22" ht="38.25" x14ac:dyDescent="0.2">
      <c r="A475" s="1" t="s">
        <v>135</v>
      </c>
      <c r="B475" s="2" t="s">
        <v>38</v>
      </c>
      <c r="C475" s="2" t="s">
        <v>136</v>
      </c>
      <c r="D475" s="2" t="s">
        <v>136</v>
      </c>
      <c r="E475" s="2">
        <v>2020</v>
      </c>
      <c r="F475" s="2" t="s">
        <v>13</v>
      </c>
      <c r="G475" s="2" t="s">
        <v>1667</v>
      </c>
      <c r="H475" s="2" t="s">
        <v>1669</v>
      </c>
      <c r="I475" s="1" t="s">
        <v>14</v>
      </c>
      <c r="J475" s="1" t="s">
        <v>525</v>
      </c>
      <c r="L475" s="34" t="s">
        <v>1670</v>
      </c>
      <c r="M475" s="35"/>
      <c r="N475" s="35">
        <v>351.7</v>
      </c>
      <c r="O475" s="35"/>
      <c r="P475" s="35"/>
      <c r="Q475" s="3"/>
      <c r="R475" s="35"/>
      <c r="S475" s="35"/>
      <c r="T475" s="35"/>
      <c r="U475" s="35"/>
      <c r="V475" s="60" t="s">
        <v>1681</v>
      </c>
    </row>
    <row r="476" spans="1:22" ht="38.25" x14ac:dyDescent="0.2">
      <c r="A476" s="1" t="s">
        <v>135</v>
      </c>
      <c r="B476" s="2" t="s">
        <v>38</v>
      </c>
      <c r="C476" s="2" t="s">
        <v>136</v>
      </c>
      <c r="D476" s="2" t="s">
        <v>136</v>
      </c>
      <c r="E476" s="2">
        <v>2020</v>
      </c>
      <c r="F476" s="2" t="s">
        <v>188</v>
      </c>
      <c r="G476" s="2" t="s">
        <v>1667</v>
      </c>
      <c r="H476" s="2" t="s">
        <v>1669</v>
      </c>
      <c r="I476" s="1" t="s">
        <v>14</v>
      </c>
      <c r="J476" s="1" t="s">
        <v>570</v>
      </c>
      <c r="L476" s="34">
        <v>0.2</v>
      </c>
      <c r="M476" s="35"/>
      <c r="N476" s="35">
        <v>337.1</v>
      </c>
      <c r="O476" s="35"/>
      <c r="P476" s="35"/>
      <c r="Q476" s="3"/>
      <c r="R476" s="14"/>
      <c r="S476" s="35"/>
      <c r="T476" s="35"/>
      <c r="U476" s="35"/>
      <c r="V476" s="60" t="s">
        <v>1681</v>
      </c>
    </row>
    <row r="477" spans="1:22" ht="38.25" x14ac:dyDescent="0.2">
      <c r="A477" s="1" t="s">
        <v>135</v>
      </c>
      <c r="B477" s="2" t="s">
        <v>38</v>
      </c>
      <c r="C477" s="2" t="s">
        <v>136</v>
      </c>
      <c r="D477" s="2" t="s">
        <v>136</v>
      </c>
      <c r="E477" s="2">
        <v>2020</v>
      </c>
      <c r="F477" s="2" t="s">
        <v>203</v>
      </c>
      <c r="G477" s="2" t="s">
        <v>1667</v>
      </c>
      <c r="H477" s="2" t="s">
        <v>1669</v>
      </c>
      <c r="I477" s="1" t="s">
        <v>14</v>
      </c>
      <c r="J477" s="1" t="s">
        <v>614</v>
      </c>
      <c r="L477" s="34">
        <v>0.214</v>
      </c>
      <c r="M477" s="35"/>
      <c r="N477" s="35">
        <v>423</v>
      </c>
      <c r="O477" s="35"/>
      <c r="P477" s="35"/>
      <c r="Q477" s="3"/>
      <c r="R477" s="14"/>
      <c r="S477" s="35"/>
      <c r="T477" s="35"/>
      <c r="U477" s="35"/>
      <c r="V477" s="60" t="s">
        <v>1681</v>
      </c>
    </row>
    <row r="478" spans="1:22" ht="38.25" x14ac:dyDescent="0.2">
      <c r="A478" s="1" t="s">
        <v>135</v>
      </c>
      <c r="B478" s="2" t="s">
        <v>38</v>
      </c>
      <c r="C478" s="2" t="s">
        <v>136</v>
      </c>
      <c r="D478" s="2" t="s">
        <v>136</v>
      </c>
      <c r="E478" s="2">
        <v>2020</v>
      </c>
      <c r="F478" s="2" t="s">
        <v>211</v>
      </c>
      <c r="G478" s="2" t="s">
        <v>1667</v>
      </c>
      <c r="H478" s="2" t="s">
        <v>1669</v>
      </c>
      <c r="I478" s="1" t="s">
        <v>14</v>
      </c>
      <c r="J478" s="1" t="s">
        <v>716</v>
      </c>
      <c r="L478" s="34">
        <v>0.20899999999999999</v>
      </c>
      <c r="M478" s="35"/>
      <c r="N478" s="35">
        <v>336</v>
      </c>
      <c r="O478" s="35"/>
      <c r="P478" s="35"/>
      <c r="Q478" s="3"/>
      <c r="R478" s="14">
        <v>159</v>
      </c>
      <c r="S478" s="35"/>
      <c r="T478" s="35"/>
      <c r="U478" s="35"/>
      <c r="V478" s="60" t="s">
        <v>3082</v>
      </c>
    </row>
    <row r="479" spans="1:22" ht="38.25" x14ac:dyDescent="0.2">
      <c r="A479" s="1" t="s">
        <v>135</v>
      </c>
      <c r="B479" s="2" t="s">
        <v>38</v>
      </c>
      <c r="C479" s="2" t="s">
        <v>136</v>
      </c>
      <c r="D479" s="2" t="s">
        <v>136</v>
      </c>
      <c r="E479" s="2">
        <v>2020</v>
      </c>
      <c r="F479" s="2" t="s">
        <v>221</v>
      </c>
      <c r="G479" s="2" t="s">
        <v>1667</v>
      </c>
      <c r="H479" s="2" t="s">
        <v>1669</v>
      </c>
      <c r="I479" s="1" t="s">
        <v>14</v>
      </c>
      <c r="J479" s="1" t="s">
        <v>786</v>
      </c>
      <c r="L479" s="34">
        <v>0.26300000000000001</v>
      </c>
      <c r="M479" s="35"/>
      <c r="N479" s="35">
        <v>581.29999999999995</v>
      </c>
      <c r="O479" s="35"/>
      <c r="P479" s="35"/>
      <c r="Q479" s="3"/>
      <c r="R479" s="14"/>
      <c r="S479" s="35"/>
      <c r="T479" s="35"/>
      <c r="U479" s="35"/>
      <c r="V479" s="60" t="s">
        <v>1681</v>
      </c>
    </row>
    <row r="480" spans="1:22" ht="38.25" x14ac:dyDescent="0.2">
      <c r="A480" s="1" t="s">
        <v>135</v>
      </c>
      <c r="B480" s="2" t="s">
        <v>38</v>
      </c>
      <c r="C480" s="2" t="s">
        <v>136</v>
      </c>
      <c r="D480" s="2" t="s">
        <v>136</v>
      </c>
      <c r="E480" s="2">
        <v>2020</v>
      </c>
      <c r="F480" s="2" t="s">
        <v>256</v>
      </c>
      <c r="G480" s="2" t="s">
        <v>1667</v>
      </c>
      <c r="H480" s="2" t="s">
        <v>1669</v>
      </c>
      <c r="I480" s="1" t="s">
        <v>14</v>
      </c>
      <c r="J480" s="1" t="s">
        <v>955</v>
      </c>
      <c r="L480" s="34">
        <v>0.249</v>
      </c>
      <c r="M480" s="35"/>
      <c r="N480" s="35">
        <v>604</v>
      </c>
      <c r="O480" s="35"/>
      <c r="P480" s="35"/>
      <c r="Q480" s="3"/>
      <c r="R480" s="14"/>
      <c r="S480" s="14"/>
      <c r="T480" s="35"/>
      <c r="U480" s="35"/>
      <c r="V480" s="60" t="s">
        <v>1681</v>
      </c>
    </row>
    <row r="481" spans="1:22" ht="38.25" x14ac:dyDescent="0.2">
      <c r="A481" s="1" t="s">
        <v>135</v>
      </c>
      <c r="B481" s="2" t="s">
        <v>38</v>
      </c>
      <c r="C481" s="2" t="s">
        <v>136</v>
      </c>
      <c r="D481" s="2" t="s">
        <v>136</v>
      </c>
      <c r="E481" s="2">
        <v>2020</v>
      </c>
      <c r="F481" s="2" t="s">
        <v>276</v>
      </c>
      <c r="G481" s="2" t="s">
        <v>1667</v>
      </c>
      <c r="H481" s="2" t="s">
        <v>1669</v>
      </c>
      <c r="I481" s="1" t="s">
        <v>14</v>
      </c>
      <c r="J481" s="1" t="s">
        <v>966</v>
      </c>
      <c r="L481" s="34">
        <v>0.23799999999999999</v>
      </c>
      <c r="M481" s="35"/>
      <c r="N481" s="35">
        <v>583</v>
      </c>
      <c r="O481" s="35"/>
      <c r="P481" s="35"/>
      <c r="Q481" s="3"/>
      <c r="R481" s="14"/>
      <c r="S481" s="14"/>
      <c r="T481" s="35"/>
      <c r="U481" s="35"/>
      <c r="V481" s="60" t="s">
        <v>1681</v>
      </c>
    </row>
    <row r="482" spans="1:22" ht="38.25" x14ac:dyDescent="0.2">
      <c r="A482" s="1" t="s">
        <v>135</v>
      </c>
      <c r="B482" s="2" t="s">
        <v>38</v>
      </c>
      <c r="C482" s="2" t="s">
        <v>136</v>
      </c>
      <c r="D482" s="2" t="s">
        <v>136</v>
      </c>
      <c r="E482" s="2">
        <v>2020</v>
      </c>
      <c r="F482" s="2" t="s">
        <v>291</v>
      </c>
      <c r="G482" s="2" t="s">
        <v>1667</v>
      </c>
      <c r="H482" s="2" t="s">
        <v>1669</v>
      </c>
      <c r="I482" s="1" t="s">
        <v>14</v>
      </c>
      <c r="J482" s="1" t="s">
        <v>1137</v>
      </c>
      <c r="L482" s="34">
        <v>0.26</v>
      </c>
      <c r="M482" s="35"/>
      <c r="N482" s="35">
        <v>536</v>
      </c>
      <c r="O482" s="35"/>
      <c r="P482" s="35"/>
      <c r="Q482" s="3"/>
      <c r="R482" s="14"/>
      <c r="S482" s="14"/>
      <c r="T482" s="35"/>
      <c r="U482" s="35"/>
      <c r="V482" s="60" t="s">
        <v>1681</v>
      </c>
    </row>
    <row r="483" spans="1:22" ht="38.25" x14ac:dyDescent="0.2">
      <c r="A483" s="1" t="s">
        <v>135</v>
      </c>
      <c r="B483" s="2" t="s">
        <v>38</v>
      </c>
      <c r="C483" s="2" t="s">
        <v>136</v>
      </c>
      <c r="D483" s="2" t="s">
        <v>136</v>
      </c>
      <c r="E483" s="2">
        <v>2020</v>
      </c>
      <c r="F483" s="2" t="s">
        <v>311</v>
      </c>
      <c r="G483" s="2" t="s">
        <v>1667</v>
      </c>
      <c r="H483" s="2" t="s">
        <v>1669</v>
      </c>
      <c r="I483" s="1" t="s">
        <v>14</v>
      </c>
      <c r="J483" s="1" t="s">
        <v>1286</v>
      </c>
      <c r="L483" s="34">
        <v>0.219</v>
      </c>
      <c r="M483" s="35"/>
      <c r="N483" s="35">
        <v>608</v>
      </c>
      <c r="O483" s="35"/>
      <c r="P483" s="35"/>
      <c r="Q483" s="3"/>
      <c r="R483" s="14"/>
      <c r="S483" s="14"/>
      <c r="T483" s="35"/>
      <c r="V483" s="60" t="s">
        <v>1681</v>
      </c>
    </row>
    <row r="484" spans="1:22" ht="38.25" x14ac:dyDescent="0.2">
      <c r="A484" s="1" t="s">
        <v>135</v>
      </c>
      <c r="B484" s="2" t="s">
        <v>38</v>
      </c>
      <c r="C484" s="2" t="s">
        <v>136</v>
      </c>
      <c r="D484" s="2" t="s">
        <v>136</v>
      </c>
      <c r="E484" s="2">
        <v>2020</v>
      </c>
      <c r="F484" s="2" t="s">
        <v>337</v>
      </c>
      <c r="G484" s="2" t="s">
        <v>1667</v>
      </c>
      <c r="H484" s="2" t="s">
        <v>1669</v>
      </c>
      <c r="I484" s="1" t="s">
        <v>14</v>
      </c>
      <c r="J484" s="1" t="s">
        <v>1380</v>
      </c>
      <c r="L484" s="34">
        <v>0.23300000000000001</v>
      </c>
      <c r="M484" s="35"/>
      <c r="N484" s="35">
        <v>597.4</v>
      </c>
      <c r="O484" s="35"/>
      <c r="P484" s="35"/>
      <c r="Q484" s="3"/>
      <c r="R484" s="14"/>
      <c r="S484" s="14"/>
      <c r="T484" s="35"/>
      <c r="V484" s="60" t="s">
        <v>1681</v>
      </c>
    </row>
    <row r="485" spans="1:22" ht="38.25" x14ac:dyDescent="0.2">
      <c r="A485" s="1" t="s">
        <v>135</v>
      </c>
      <c r="B485" s="2" t="s">
        <v>38</v>
      </c>
      <c r="C485" s="2" t="s">
        <v>136</v>
      </c>
      <c r="D485" s="2" t="s">
        <v>136</v>
      </c>
      <c r="E485" s="2">
        <v>2020</v>
      </c>
      <c r="F485" s="2" t="s">
        <v>364</v>
      </c>
      <c r="G485" s="2" t="s">
        <v>1667</v>
      </c>
      <c r="H485" s="2" t="s">
        <v>1669</v>
      </c>
      <c r="I485" s="1" t="s">
        <v>14</v>
      </c>
      <c r="J485" s="1" t="s">
        <v>1543</v>
      </c>
      <c r="L485" s="34">
        <v>0.24099999999999999</v>
      </c>
      <c r="M485" s="35"/>
      <c r="N485" s="35">
        <v>614.4</v>
      </c>
      <c r="O485" s="35"/>
      <c r="P485" s="35"/>
      <c r="Q485" s="3"/>
      <c r="R485" s="14"/>
      <c r="S485" s="14"/>
      <c r="T485" s="35"/>
      <c r="V485" s="60" t="s">
        <v>1681</v>
      </c>
    </row>
    <row r="486" spans="1:22" ht="38.25" x14ac:dyDescent="0.2">
      <c r="A486" s="1" t="s">
        <v>135</v>
      </c>
      <c r="B486" s="2" t="s">
        <v>38</v>
      </c>
      <c r="C486" s="2" t="s">
        <v>136</v>
      </c>
      <c r="D486" s="2" t="s">
        <v>136</v>
      </c>
      <c r="E486" s="2">
        <v>2020</v>
      </c>
      <c r="F486" s="2" t="s">
        <v>388</v>
      </c>
      <c r="G486" s="2" t="s">
        <v>1667</v>
      </c>
      <c r="H486" s="2" t="s">
        <v>1669</v>
      </c>
      <c r="I486" s="1" t="s">
        <v>14</v>
      </c>
      <c r="J486" s="1" t="s">
        <v>1630</v>
      </c>
      <c r="L486" s="34">
        <v>0.223</v>
      </c>
      <c r="M486" s="35"/>
      <c r="N486" s="35">
        <v>453.2</v>
      </c>
      <c r="O486" s="35"/>
      <c r="P486" s="35"/>
      <c r="Q486" s="3"/>
      <c r="R486" s="35"/>
      <c r="S486" s="35"/>
      <c r="T486" s="35"/>
      <c r="V486" s="60" t="s">
        <v>1681</v>
      </c>
    </row>
    <row r="487" spans="1:22" ht="191.25" x14ac:dyDescent="0.2">
      <c r="A487" s="1" t="s">
        <v>329</v>
      </c>
      <c r="B487" s="2" t="s">
        <v>196</v>
      </c>
      <c r="C487" s="2" t="s">
        <v>330</v>
      </c>
      <c r="D487" s="2" t="s">
        <v>328</v>
      </c>
      <c r="E487" s="2">
        <v>2020</v>
      </c>
      <c r="F487" s="2" t="s">
        <v>311</v>
      </c>
      <c r="G487" s="2" t="s">
        <v>1669</v>
      </c>
      <c r="H487" s="2" t="s">
        <v>1669</v>
      </c>
      <c r="I487" s="1" t="s">
        <v>1250</v>
      </c>
      <c r="J487" s="1" t="s">
        <v>1251</v>
      </c>
      <c r="L487" s="34">
        <v>0.26</v>
      </c>
      <c r="M487" s="35"/>
      <c r="N487" s="35">
        <f>1620*0.8</f>
        <v>1296</v>
      </c>
      <c r="O487" s="35"/>
      <c r="P487" s="35"/>
      <c r="Q487" s="35"/>
      <c r="R487" s="14"/>
      <c r="S487" s="14"/>
      <c r="T487" s="35"/>
      <c r="U487" s="35"/>
      <c r="V487" s="60" t="s">
        <v>1680</v>
      </c>
    </row>
    <row r="488" spans="1:22" ht="25.5" x14ac:dyDescent="0.2">
      <c r="A488" s="1" t="s">
        <v>329</v>
      </c>
      <c r="B488" s="2" t="s">
        <v>196</v>
      </c>
      <c r="C488" s="2" t="s">
        <v>330</v>
      </c>
      <c r="D488" s="2" t="s">
        <v>328</v>
      </c>
      <c r="E488" s="2">
        <v>2020</v>
      </c>
      <c r="F488" s="2" t="s">
        <v>337</v>
      </c>
      <c r="G488" s="2" t="s">
        <v>1669</v>
      </c>
      <c r="H488" s="2" t="s">
        <v>1669</v>
      </c>
      <c r="I488" s="1" t="s">
        <v>1469</v>
      </c>
      <c r="J488" s="1" t="s">
        <v>1469</v>
      </c>
      <c r="L488" s="34"/>
      <c r="M488" s="35"/>
      <c r="N488" s="35"/>
      <c r="O488" s="35"/>
      <c r="P488" s="35"/>
      <c r="Q488" s="35"/>
      <c r="R488" s="14"/>
      <c r="S488" s="14"/>
      <c r="T488" s="35"/>
      <c r="U488" s="35"/>
    </row>
    <row r="489" spans="1:22" ht="38.25" x14ac:dyDescent="0.2">
      <c r="A489" s="1" t="s">
        <v>25</v>
      </c>
      <c r="B489" s="2" t="s">
        <v>16</v>
      </c>
      <c r="C489" s="2" t="s">
        <v>26</v>
      </c>
      <c r="D489" s="2" t="s">
        <v>27</v>
      </c>
      <c r="E489" s="2">
        <v>2020</v>
      </c>
      <c r="F489" s="2" t="s">
        <v>13</v>
      </c>
      <c r="G489" s="2" t="s">
        <v>1667</v>
      </c>
      <c r="H489" s="2" t="s">
        <v>1669</v>
      </c>
      <c r="I489" s="1" t="s">
        <v>14</v>
      </c>
      <c r="J489" s="1" t="s">
        <v>504</v>
      </c>
      <c r="L489" s="34" t="s">
        <v>1670</v>
      </c>
      <c r="M489" s="35"/>
      <c r="N489" s="35"/>
      <c r="O489" s="35"/>
      <c r="P489" s="35"/>
      <c r="Q489" s="35"/>
      <c r="R489" s="14"/>
      <c r="S489" s="14">
        <f>4125.71*100/20</f>
        <v>20628.55</v>
      </c>
      <c r="T489" s="35"/>
      <c r="U489" s="35"/>
      <c r="V489" s="60" t="s">
        <v>1770</v>
      </c>
    </row>
    <row r="490" spans="1:22" ht="38.25" x14ac:dyDescent="0.2">
      <c r="A490" s="1" t="s">
        <v>25</v>
      </c>
      <c r="B490" s="2" t="s">
        <v>16</v>
      </c>
      <c r="C490" s="2" t="s">
        <v>26</v>
      </c>
      <c r="D490" s="2" t="s">
        <v>27</v>
      </c>
      <c r="E490" s="2">
        <v>2020</v>
      </c>
      <c r="F490" s="2" t="s">
        <v>188</v>
      </c>
      <c r="G490" s="2" t="s">
        <v>1667</v>
      </c>
      <c r="H490" s="2" t="s">
        <v>1669</v>
      </c>
      <c r="I490" s="1" t="s">
        <v>14</v>
      </c>
      <c r="J490" s="1" t="s">
        <v>569</v>
      </c>
      <c r="L490" s="34" t="s">
        <v>1670</v>
      </c>
      <c r="M490" s="35"/>
      <c r="N490" s="35"/>
      <c r="O490" s="35"/>
      <c r="P490" s="35"/>
      <c r="Q490" s="35"/>
      <c r="R490" s="14"/>
      <c r="S490" s="14">
        <f>2868.09*100/20</f>
        <v>14340.45</v>
      </c>
      <c r="T490" s="35"/>
      <c r="U490" s="35"/>
      <c r="V490" s="60" t="s">
        <v>1770</v>
      </c>
    </row>
    <row r="491" spans="1:22" ht="38.25" x14ac:dyDescent="0.2">
      <c r="A491" s="1" t="s">
        <v>25</v>
      </c>
      <c r="B491" s="2" t="s">
        <v>16</v>
      </c>
      <c r="C491" s="2" t="s">
        <v>26</v>
      </c>
      <c r="D491" s="2" t="s">
        <v>27</v>
      </c>
      <c r="E491" s="2">
        <v>2020</v>
      </c>
      <c r="F491" s="2" t="s">
        <v>203</v>
      </c>
      <c r="G491" s="2" t="s">
        <v>1667</v>
      </c>
      <c r="H491" s="2" t="s">
        <v>1669</v>
      </c>
      <c r="I491" s="1" t="s">
        <v>14</v>
      </c>
      <c r="J491" s="1" t="s">
        <v>667</v>
      </c>
      <c r="L491" s="34" t="s">
        <v>1670</v>
      </c>
      <c r="M491" s="35"/>
      <c r="N491" s="35"/>
      <c r="O491" s="35"/>
      <c r="P491" s="35"/>
      <c r="Q491" s="35"/>
      <c r="R491" s="14"/>
      <c r="S491" s="14">
        <f>6383*100/20</f>
        <v>31915</v>
      </c>
      <c r="T491" s="35"/>
      <c r="U491" s="35"/>
      <c r="V491" s="60" t="s">
        <v>1770</v>
      </c>
    </row>
    <row r="492" spans="1:22" ht="38.25" x14ac:dyDescent="0.2">
      <c r="A492" s="1" t="s">
        <v>25</v>
      </c>
      <c r="B492" s="2" t="s">
        <v>16</v>
      </c>
      <c r="C492" s="2" t="s">
        <v>26</v>
      </c>
      <c r="D492" s="2" t="s">
        <v>27</v>
      </c>
      <c r="E492" s="2">
        <v>2020</v>
      </c>
      <c r="F492" s="2" t="s">
        <v>211</v>
      </c>
      <c r="G492" s="2" t="s">
        <v>1667</v>
      </c>
      <c r="H492" s="2" t="s">
        <v>1669</v>
      </c>
      <c r="I492" s="1" t="s">
        <v>14</v>
      </c>
      <c r="J492" s="1" t="s">
        <v>718</v>
      </c>
      <c r="L492" s="34" t="s">
        <v>1670</v>
      </c>
      <c r="M492" s="35"/>
      <c r="N492" s="35"/>
      <c r="O492" s="35"/>
      <c r="P492" s="35"/>
      <c r="Q492" s="35"/>
      <c r="R492" s="14"/>
      <c r="S492" s="14">
        <f>2884.06*100/20</f>
        <v>14420.3</v>
      </c>
      <c r="T492" s="35"/>
      <c r="U492" s="35"/>
      <c r="V492" s="60" t="s">
        <v>1770</v>
      </c>
    </row>
    <row r="493" spans="1:22" ht="38.25" x14ac:dyDescent="0.2">
      <c r="A493" s="1" t="s">
        <v>25</v>
      </c>
      <c r="B493" s="2" t="s">
        <v>16</v>
      </c>
      <c r="C493" s="2" t="s">
        <v>26</v>
      </c>
      <c r="D493" s="2" t="s">
        <v>27</v>
      </c>
      <c r="E493" s="2">
        <v>2020</v>
      </c>
      <c r="F493" s="2" t="s">
        <v>221</v>
      </c>
      <c r="G493" s="2" t="s">
        <v>1667</v>
      </c>
      <c r="H493" s="2" t="s">
        <v>1669</v>
      </c>
      <c r="I493" s="1" t="s">
        <v>14</v>
      </c>
      <c r="J493" s="1" t="s">
        <v>804</v>
      </c>
      <c r="L493" s="34" t="s">
        <v>1670</v>
      </c>
      <c r="M493" s="35"/>
      <c r="N493" s="35"/>
      <c r="O493" s="35"/>
      <c r="P493" s="35"/>
      <c r="Q493" s="35"/>
      <c r="R493" s="14"/>
      <c r="S493" s="14">
        <f>(2520+389)*100/20</f>
        <v>14545</v>
      </c>
      <c r="T493" s="35"/>
      <c r="U493" s="35"/>
      <c r="V493" s="60" t="s">
        <v>1770</v>
      </c>
    </row>
    <row r="494" spans="1:22" ht="38.25" x14ac:dyDescent="0.2">
      <c r="A494" s="1" t="s">
        <v>25</v>
      </c>
      <c r="B494" s="2" t="s">
        <v>16</v>
      </c>
      <c r="C494" s="2" t="s">
        <v>26</v>
      </c>
      <c r="D494" s="2" t="s">
        <v>27</v>
      </c>
      <c r="E494" s="2">
        <v>2020</v>
      </c>
      <c r="F494" s="2" t="s">
        <v>256</v>
      </c>
      <c r="G494" s="2" t="s">
        <v>1667</v>
      </c>
      <c r="H494" s="2" t="s">
        <v>1669</v>
      </c>
      <c r="I494" s="1" t="s">
        <v>14</v>
      </c>
      <c r="J494" s="1" t="s">
        <v>917</v>
      </c>
      <c r="L494" s="34" t="s">
        <v>1670</v>
      </c>
      <c r="M494" s="35"/>
      <c r="N494" s="35"/>
      <c r="O494" s="35"/>
      <c r="P494" s="35"/>
      <c r="Q494" s="35"/>
      <c r="R494" s="14"/>
      <c r="S494" s="14">
        <f>4028.38*100/20</f>
        <v>20141.900000000001</v>
      </c>
      <c r="T494" s="35"/>
      <c r="U494" s="35"/>
      <c r="V494" s="60" t="s">
        <v>1770</v>
      </c>
    </row>
    <row r="495" spans="1:22" ht="38.25" x14ac:dyDescent="0.2">
      <c r="A495" s="1" t="s">
        <v>25</v>
      </c>
      <c r="B495" s="2" t="s">
        <v>16</v>
      </c>
      <c r="C495" s="2" t="s">
        <v>26</v>
      </c>
      <c r="D495" s="2" t="s">
        <v>27</v>
      </c>
      <c r="E495" s="2">
        <v>2020</v>
      </c>
      <c r="F495" s="2" t="s">
        <v>276</v>
      </c>
      <c r="G495" s="2" t="s">
        <v>1667</v>
      </c>
      <c r="H495" s="2" t="s">
        <v>1669</v>
      </c>
      <c r="I495" s="1" t="s">
        <v>14</v>
      </c>
      <c r="J495" s="1" t="s">
        <v>972</v>
      </c>
      <c r="L495" s="34" t="s">
        <v>1670</v>
      </c>
      <c r="M495" s="35"/>
      <c r="N495" s="35"/>
      <c r="O495" s="35"/>
      <c r="P495" s="35"/>
      <c r="Q495" s="35"/>
      <c r="R495" s="14"/>
      <c r="S495" s="14">
        <f>5070.6*100/20</f>
        <v>25353.000000000004</v>
      </c>
      <c r="T495" s="35"/>
      <c r="U495" s="35"/>
      <c r="V495" s="60" t="s">
        <v>1770</v>
      </c>
    </row>
    <row r="496" spans="1:22" ht="38.25" x14ac:dyDescent="0.2">
      <c r="A496" s="1" t="s">
        <v>25</v>
      </c>
      <c r="B496" s="2" t="s">
        <v>16</v>
      </c>
      <c r="C496" s="2" t="s">
        <v>26</v>
      </c>
      <c r="D496" s="2" t="s">
        <v>27</v>
      </c>
      <c r="E496" s="2">
        <v>2020</v>
      </c>
      <c r="F496" s="2" t="s">
        <v>291</v>
      </c>
      <c r="G496" s="2" t="s">
        <v>1667</v>
      </c>
      <c r="H496" s="2" t="s">
        <v>1669</v>
      </c>
      <c r="I496" s="1" t="s">
        <v>14</v>
      </c>
      <c r="J496" s="1" t="s">
        <v>1136</v>
      </c>
      <c r="L496" s="34" t="s">
        <v>1670</v>
      </c>
      <c r="M496" s="35"/>
      <c r="N496" s="35"/>
      <c r="O496" s="35"/>
      <c r="P496" s="35"/>
      <c r="Q496" s="35"/>
      <c r="R496" s="14"/>
      <c r="S496" s="14">
        <f>(4618.47+1790.4)*100/20</f>
        <v>32044.350000000006</v>
      </c>
      <c r="T496" s="35"/>
      <c r="U496" s="35"/>
      <c r="V496" s="60" t="s">
        <v>1770</v>
      </c>
    </row>
    <row r="497" spans="1:22" ht="38.25" x14ac:dyDescent="0.2">
      <c r="A497" s="1" t="s">
        <v>25</v>
      </c>
      <c r="B497" s="2" t="s">
        <v>16</v>
      </c>
      <c r="C497" s="2" t="s">
        <v>26</v>
      </c>
      <c r="D497" s="2" t="s">
        <v>27</v>
      </c>
      <c r="E497" s="2">
        <v>2020</v>
      </c>
      <c r="F497" s="2" t="s">
        <v>311</v>
      </c>
      <c r="G497" s="2" t="s">
        <v>1667</v>
      </c>
      <c r="H497" s="2" t="s">
        <v>1669</v>
      </c>
      <c r="I497" s="1" t="s">
        <v>14</v>
      </c>
      <c r="J497" s="1" t="s">
        <v>1232</v>
      </c>
      <c r="L497" s="34" t="s">
        <v>1670</v>
      </c>
      <c r="M497" s="35"/>
      <c r="N497" s="35"/>
      <c r="O497" s="35"/>
      <c r="P497" s="35"/>
      <c r="Q497" s="35"/>
      <c r="R497" s="14"/>
      <c r="S497" s="14">
        <f>(2654.1+1846.4)*100/20</f>
        <v>22502.5</v>
      </c>
      <c r="T497" s="35"/>
      <c r="U497" s="35"/>
      <c r="V497" s="60" t="s">
        <v>1770</v>
      </c>
    </row>
    <row r="498" spans="1:22" ht="38.25" x14ac:dyDescent="0.2">
      <c r="A498" s="1" t="s">
        <v>25</v>
      </c>
      <c r="B498" s="2" t="s">
        <v>16</v>
      </c>
      <c r="C498" s="2" t="s">
        <v>26</v>
      </c>
      <c r="D498" s="2" t="s">
        <v>27</v>
      </c>
      <c r="E498" s="2">
        <v>2020</v>
      </c>
      <c r="F498" s="2" t="s">
        <v>337</v>
      </c>
      <c r="G498" s="2" t="s">
        <v>1667</v>
      </c>
      <c r="H498" s="2" t="s">
        <v>1669</v>
      </c>
      <c r="I498" s="1" t="s">
        <v>14</v>
      </c>
      <c r="J498" s="1" t="s">
        <v>1347</v>
      </c>
      <c r="L498" s="34" t="s">
        <v>1670</v>
      </c>
      <c r="M498" s="35"/>
      <c r="N498" s="35"/>
      <c r="O498" s="35"/>
      <c r="P498" s="35"/>
      <c r="Q498" s="35"/>
      <c r="R498" s="14"/>
      <c r="S498" s="14">
        <f>(3772.25+1593.88)*100/20</f>
        <v>26830.65</v>
      </c>
      <c r="T498" s="35"/>
      <c r="U498" s="35"/>
      <c r="V498" s="60" t="s">
        <v>1770</v>
      </c>
    </row>
    <row r="499" spans="1:22" ht="38.25" x14ac:dyDescent="0.2">
      <c r="A499" s="1" t="s">
        <v>25</v>
      </c>
      <c r="B499" s="2" t="s">
        <v>16</v>
      </c>
      <c r="C499" s="2" t="s">
        <v>26</v>
      </c>
      <c r="D499" s="2" t="s">
        <v>27</v>
      </c>
      <c r="E499" s="2">
        <v>2020</v>
      </c>
      <c r="F499" s="2" t="s">
        <v>364</v>
      </c>
      <c r="G499" s="2" t="s">
        <v>1667</v>
      </c>
      <c r="H499" s="2" t="s">
        <v>1669</v>
      </c>
      <c r="I499" s="1" t="s">
        <v>14</v>
      </c>
      <c r="J499" s="1" t="s">
        <v>1560</v>
      </c>
      <c r="L499" s="34" t="s">
        <v>1670</v>
      </c>
      <c r="M499" s="35"/>
      <c r="N499" s="35"/>
      <c r="O499" s="35"/>
      <c r="P499" s="35"/>
      <c r="Q499" s="35"/>
      <c r="R499" s="14"/>
      <c r="S499" s="14">
        <f>(2894.28+2042.93)*100/20</f>
        <v>24686.05</v>
      </c>
      <c r="T499" s="35"/>
      <c r="U499" s="35"/>
      <c r="V499" s="60" t="s">
        <v>1770</v>
      </c>
    </row>
    <row r="500" spans="1:22" ht="38.25" x14ac:dyDescent="0.2">
      <c r="A500" s="1" t="s">
        <v>25</v>
      </c>
      <c r="B500" s="2" t="s">
        <v>16</v>
      </c>
      <c r="C500" s="2" t="s">
        <v>26</v>
      </c>
      <c r="D500" s="2" t="s">
        <v>27</v>
      </c>
      <c r="E500" s="2">
        <v>2020</v>
      </c>
      <c r="F500" s="2" t="s">
        <v>388</v>
      </c>
      <c r="G500" s="2" t="s">
        <v>1667</v>
      </c>
      <c r="H500" s="2" t="s">
        <v>1669</v>
      </c>
      <c r="I500" s="1" t="s">
        <v>14</v>
      </c>
      <c r="J500" s="1" t="s">
        <v>1602</v>
      </c>
      <c r="L500" s="34" t="s">
        <v>1670</v>
      </c>
      <c r="M500" s="35"/>
      <c r="N500" s="35"/>
      <c r="O500" s="35"/>
      <c r="P500" s="35"/>
      <c r="Q500" s="35"/>
      <c r="R500" s="14"/>
      <c r="S500" s="14">
        <f>3368*100/20</f>
        <v>16840</v>
      </c>
      <c r="T500" s="35"/>
      <c r="U500" s="35"/>
      <c r="V500" s="60" t="s">
        <v>1770</v>
      </c>
    </row>
    <row r="501" spans="1:22" ht="38.25" x14ac:dyDescent="0.2">
      <c r="A501" s="1" t="s">
        <v>339</v>
      </c>
      <c r="B501" s="2" t="s">
        <v>340</v>
      </c>
      <c r="C501" s="2" t="s">
        <v>341</v>
      </c>
      <c r="D501" s="2" t="s">
        <v>77</v>
      </c>
      <c r="E501" s="2">
        <v>2020</v>
      </c>
      <c r="F501" s="2" t="s">
        <v>188</v>
      </c>
      <c r="G501" s="2" t="s">
        <v>1667</v>
      </c>
      <c r="H501" s="2" t="s">
        <v>1669</v>
      </c>
      <c r="I501" s="1" t="s">
        <v>14</v>
      </c>
      <c r="J501" s="1" t="s">
        <v>610</v>
      </c>
      <c r="L501" s="34" t="s">
        <v>1670</v>
      </c>
      <c r="M501" s="35"/>
      <c r="N501" s="35">
        <v>381</v>
      </c>
      <c r="O501" s="35"/>
      <c r="P501" s="35"/>
      <c r="Q501" s="35"/>
      <c r="R501" s="14"/>
      <c r="S501" s="35"/>
      <c r="T501" s="35"/>
      <c r="U501" s="35"/>
      <c r="V501" s="60" t="s">
        <v>1699</v>
      </c>
    </row>
    <row r="502" spans="1:22" ht="38.25" x14ac:dyDescent="0.2">
      <c r="A502" s="1" t="s">
        <v>339</v>
      </c>
      <c r="B502" s="2" t="s">
        <v>340</v>
      </c>
      <c r="C502" s="2" t="s">
        <v>341</v>
      </c>
      <c r="D502" s="2" t="s">
        <v>77</v>
      </c>
      <c r="E502" s="2">
        <v>2020</v>
      </c>
      <c r="F502" s="2" t="s">
        <v>221</v>
      </c>
      <c r="G502" s="2" t="s">
        <v>1667</v>
      </c>
      <c r="H502" s="2" t="s">
        <v>1669</v>
      </c>
      <c r="I502" s="1" t="s">
        <v>14</v>
      </c>
      <c r="J502" s="1" t="s">
        <v>857</v>
      </c>
      <c r="L502" s="34" t="s">
        <v>1670</v>
      </c>
      <c r="M502" s="35"/>
      <c r="N502" s="35">
        <v>22</v>
      </c>
      <c r="O502" s="35"/>
      <c r="P502" s="35"/>
      <c r="Q502" s="35"/>
      <c r="R502" s="14"/>
      <c r="S502" s="14"/>
      <c r="T502" s="35"/>
      <c r="U502" s="35"/>
      <c r="V502" s="60" t="s">
        <v>1699</v>
      </c>
    </row>
    <row r="503" spans="1:22" ht="38.25" x14ac:dyDescent="0.2">
      <c r="A503" s="1" t="s">
        <v>339</v>
      </c>
      <c r="B503" s="2" t="s">
        <v>340</v>
      </c>
      <c r="C503" s="2" t="s">
        <v>341</v>
      </c>
      <c r="D503" s="2" t="s">
        <v>77</v>
      </c>
      <c r="E503" s="2">
        <v>2020</v>
      </c>
      <c r="F503" s="2" t="s">
        <v>364</v>
      </c>
      <c r="G503" s="2" t="s">
        <v>1667</v>
      </c>
      <c r="H503" s="2" t="s">
        <v>1669</v>
      </c>
      <c r="I503" s="1" t="s">
        <v>14</v>
      </c>
      <c r="J503" s="1" t="s">
        <v>1499</v>
      </c>
      <c r="L503" s="34" t="s">
        <v>1670</v>
      </c>
      <c r="M503" s="35"/>
      <c r="N503" s="35">
        <v>246</v>
      </c>
      <c r="O503" s="35"/>
      <c r="P503" s="35"/>
      <c r="Q503" s="35"/>
      <c r="R503" s="14"/>
      <c r="S503" s="14"/>
      <c r="T503" s="35"/>
      <c r="U503" s="35"/>
      <c r="V503" s="60" t="s">
        <v>1699</v>
      </c>
    </row>
    <row r="504" spans="1:22" ht="140.25" x14ac:dyDescent="0.2">
      <c r="A504" s="1" t="s">
        <v>147</v>
      </c>
      <c r="B504" s="2" t="s">
        <v>38</v>
      </c>
      <c r="C504" s="2" t="s">
        <v>148</v>
      </c>
      <c r="D504" s="2" t="s">
        <v>108</v>
      </c>
      <c r="E504" s="2">
        <v>2020</v>
      </c>
      <c r="F504" s="2" t="s">
        <v>13</v>
      </c>
      <c r="G504" s="2" t="s">
        <v>1667</v>
      </c>
      <c r="H504" s="2" t="s">
        <v>1669</v>
      </c>
      <c r="I504" s="1" t="s">
        <v>14</v>
      </c>
      <c r="J504" s="1" t="s">
        <v>507</v>
      </c>
      <c r="L504" s="5">
        <v>0.2064</v>
      </c>
      <c r="M504" s="35"/>
      <c r="N504" s="35">
        <v>92.36</v>
      </c>
      <c r="O504" s="35"/>
      <c r="P504" s="35"/>
      <c r="Q504" s="35"/>
      <c r="R504" s="35"/>
      <c r="S504" s="35"/>
      <c r="T504" s="35"/>
      <c r="U504" s="35"/>
    </row>
    <row r="505" spans="1:22" ht="114.75" x14ac:dyDescent="0.2">
      <c r="A505" s="1" t="s">
        <v>147</v>
      </c>
      <c r="B505" s="2" t="s">
        <v>38</v>
      </c>
      <c r="C505" s="2" t="s">
        <v>148</v>
      </c>
      <c r="D505" s="2" t="s">
        <v>108</v>
      </c>
      <c r="E505" s="2">
        <v>2020</v>
      </c>
      <c r="F505" s="2" t="s">
        <v>188</v>
      </c>
      <c r="G505" s="2" t="s">
        <v>1667</v>
      </c>
      <c r="H505" s="2" t="s">
        <v>1669</v>
      </c>
      <c r="I505" s="1" t="s">
        <v>14</v>
      </c>
      <c r="J505" s="1" t="s">
        <v>576</v>
      </c>
      <c r="L505" s="34">
        <v>0.20319999999999999</v>
      </c>
      <c r="M505" s="35"/>
      <c r="N505" s="35">
        <v>63.35</v>
      </c>
      <c r="O505" s="35"/>
      <c r="P505" s="35"/>
      <c r="Q505" s="35"/>
      <c r="R505" s="14"/>
      <c r="S505" s="35"/>
      <c r="T505" s="35"/>
      <c r="U505" s="35"/>
    </row>
    <row r="506" spans="1:22" ht="102" x14ac:dyDescent="0.2">
      <c r="A506" s="1" t="s">
        <v>147</v>
      </c>
      <c r="B506" s="2" t="s">
        <v>38</v>
      </c>
      <c r="C506" s="2" t="s">
        <v>148</v>
      </c>
      <c r="D506" s="2" t="s">
        <v>108</v>
      </c>
      <c r="E506" s="2">
        <v>2020</v>
      </c>
      <c r="F506" s="2" t="s">
        <v>203</v>
      </c>
      <c r="G506" s="2" t="s">
        <v>1667</v>
      </c>
      <c r="H506" s="2" t="s">
        <v>1669</v>
      </c>
      <c r="I506" s="1" t="s">
        <v>14</v>
      </c>
      <c r="J506" s="1" t="s">
        <v>1705</v>
      </c>
      <c r="L506" s="34">
        <v>0.2029</v>
      </c>
      <c r="M506" s="35"/>
      <c r="N506" s="35">
        <v>132.9</v>
      </c>
      <c r="O506" s="35"/>
      <c r="P506" s="35"/>
      <c r="Q506" s="35"/>
      <c r="R506" s="14"/>
      <c r="S506" s="35"/>
      <c r="T506" s="35"/>
      <c r="U506" s="35"/>
    </row>
    <row r="507" spans="1:22" ht="25.5" x14ac:dyDescent="0.2">
      <c r="A507" s="1" t="s">
        <v>147</v>
      </c>
      <c r="B507" s="2" t="s">
        <v>38</v>
      </c>
      <c r="C507" s="2" t="s">
        <v>148</v>
      </c>
      <c r="D507" s="2" t="s">
        <v>108</v>
      </c>
      <c r="E507" s="2">
        <v>2020</v>
      </c>
      <c r="F507" s="2" t="s">
        <v>211</v>
      </c>
      <c r="G507" s="2" t="s">
        <v>1667</v>
      </c>
      <c r="H507" s="2" t="s">
        <v>1669</v>
      </c>
      <c r="I507" s="1" t="s">
        <v>14</v>
      </c>
      <c r="J507" s="1" t="s">
        <v>729</v>
      </c>
      <c r="L507" s="34">
        <v>0.20200000000000001</v>
      </c>
      <c r="N507" s="35">
        <v>54.88</v>
      </c>
      <c r="O507" s="35"/>
      <c r="P507" s="35"/>
      <c r="Q507" s="35"/>
      <c r="R507" s="14"/>
      <c r="S507" s="35"/>
      <c r="T507" s="35"/>
      <c r="U507" s="35"/>
    </row>
    <row r="508" spans="1:22" ht="25.5" x14ac:dyDescent="0.2">
      <c r="A508" s="1" t="s">
        <v>147</v>
      </c>
      <c r="B508" s="2" t="s">
        <v>38</v>
      </c>
      <c r="C508" s="2" t="s">
        <v>148</v>
      </c>
      <c r="D508" s="2" t="s">
        <v>108</v>
      </c>
      <c r="E508" s="2">
        <v>2020</v>
      </c>
      <c r="F508" s="2" t="s">
        <v>221</v>
      </c>
      <c r="G508" s="2" t="s">
        <v>1667</v>
      </c>
      <c r="H508" s="2" t="s">
        <v>1669</v>
      </c>
      <c r="I508" s="1" t="s">
        <v>14</v>
      </c>
      <c r="J508" s="1" t="s">
        <v>785</v>
      </c>
      <c r="L508" s="34">
        <v>0.20899999999999999</v>
      </c>
      <c r="N508" s="35">
        <v>66.2</v>
      </c>
      <c r="O508" s="35"/>
      <c r="P508" s="35"/>
      <c r="Q508" s="35"/>
      <c r="R508" s="14"/>
      <c r="S508" s="35"/>
      <c r="T508" s="35"/>
      <c r="U508" s="35"/>
    </row>
    <row r="509" spans="1:22" ht="25.5" x14ac:dyDescent="0.2">
      <c r="A509" s="1" t="s">
        <v>147</v>
      </c>
      <c r="B509" s="2" t="s">
        <v>38</v>
      </c>
      <c r="C509" s="2" t="s">
        <v>148</v>
      </c>
      <c r="D509" s="2" t="s">
        <v>108</v>
      </c>
      <c r="E509" s="2">
        <v>2020</v>
      </c>
      <c r="F509" s="2" t="s">
        <v>256</v>
      </c>
      <c r="G509" s="2" t="s">
        <v>1667</v>
      </c>
      <c r="H509" s="2" t="s">
        <v>1669</v>
      </c>
      <c r="I509" s="1" t="s">
        <v>14</v>
      </c>
      <c r="J509" s="1" t="s">
        <v>868</v>
      </c>
      <c r="L509" s="34">
        <v>0.191</v>
      </c>
      <c r="N509" s="35">
        <v>83.53</v>
      </c>
      <c r="O509" s="35"/>
      <c r="P509" s="35"/>
      <c r="Q509" s="35"/>
      <c r="R509" s="14"/>
      <c r="S509" s="14"/>
      <c r="T509" s="35"/>
      <c r="U509" s="35"/>
    </row>
    <row r="510" spans="1:22" ht="60" customHeight="1" x14ac:dyDescent="0.2">
      <c r="A510" s="1" t="s">
        <v>147</v>
      </c>
      <c r="B510" s="2" t="s">
        <v>38</v>
      </c>
      <c r="C510" s="2" t="s">
        <v>148</v>
      </c>
      <c r="D510" s="2" t="s">
        <v>108</v>
      </c>
      <c r="E510" s="2">
        <v>2020</v>
      </c>
      <c r="F510" s="2" t="s">
        <v>276</v>
      </c>
      <c r="G510" s="2" t="s">
        <v>1667</v>
      </c>
      <c r="H510" s="2" t="s">
        <v>1669</v>
      </c>
      <c r="I510" s="1" t="s">
        <v>14</v>
      </c>
      <c r="J510" s="1" t="s">
        <v>1003</v>
      </c>
      <c r="L510" s="34">
        <v>0.16500000000000001</v>
      </c>
      <c r="N510" s="35">
        <v>105.22</v>
      </c>
      <c r="O510" s="35"/>
      <c r="P510" s="35"/>
      <c r="Q510" s="35"/>
      <c r="R510" s="14"/>
      <c r="S510" s="14"/>
      <c r="T510" s="35"/>
      <c r="U510" s="35"/>
    </row>
    <row r="511" spans="1:22" ht="25.5" x14ac:dyDescent="0.2">
      <c r="A511" s="1" t="s">
        <v>147</v>
      </c>
      <c r="B511" s="2" t="s">
        <v>38</v>
      </c>
      <c r="C511" s="2" t="s">
        <v>148</v>
      </c>
      <c r="D511" s="2" t="s">
        <v>108</v>
      </c>
      <c r="E511" s="2">
        <v>2020</v>
      </c>
      <c r="F511" s="2" t="s">
        <v>291</v>
      </c>
      <c r="G511" s="2" t="s">
        <v>1667</v>
      </c>
      <c r="H511" s="2" t="s">
        <v>1669</v>
      </c>
      <c r="I511" s="1" t="s">
        <v>14</v>
      </c>
      <c r="J511" s="1" t="s">
        <v>1086</v>
      </c>
      <c r="L511" s="34">
        <v>0.192</v>
      </c>
      <c r="N511" s="35">
        <v>95.31</v>
      </c>
      <c r="O511" s="35"/>
      <c r="P511" s="35"/>
      <c r="Q511" s="35"/>
      <c r="R511" s="14"/>
      <c r="S511" s="14"/>
      <c r="T511" s="35"/>
      <c r="U511" s="35"/>
    </row>
    <row r="512" spans="1:22" ht="25.5" x14ac:dyDescent="0.2">
      <c r="A512" s="1" t="s">
        <v>147</v>
      </c>
      <c r="B512" s="2" t="s">
        <v>38</v>
      </c>
      <c r="C512" s="2" t="s">
        <v>148</v>
      </c>
      <c r="D512" s="2" t="s">
        <v>108</v>
      </c>
      <c r="E512" s="2">
        <v>2020</v>
      </c>
      <c r="F512" s="2" t="s">
        <v>311</v>
      </c>
      <c r="G512" s="2" t="s">
        <v>1667</v>
      </c>
      <c r="H512" s="2" t="s">
        <v>1669</v>
      </c>
      <c r="I512" s="1" t="s">
        <v>14</v>
      </c>
      <c r="J512" s="1" t="s">
        <v>1223</v>
      </c>
      <c r="L512" s="34">
        <v>0.17499999999999999</v>
      </c>
      <c r="N512" s="35">
        <v>103.78</v>
      </c>
      <c r="O512" s="35"/>
      <c r="P512" s="35"/>
      <c r="Q512" s="35"/>
      <c r="R512" s="14"/>
      <c r="S512" s="14"/>
      <c r="T512" s="35"/>
      <c r="U512" s="35"/>
    </row>
    <row r="513" spans="1:22" ht="25.5" x14ac:dyDescent="0.2">
      <c r="A513" s="1" t="s">
        <v>147</v>
      </c>
      <c r="B513" s="2" t="s">
        <v>38</v>
      </c>
      <c r="C513" s="2" t="s">
        <v>148</v>
      </c>
      <c r="D513" s="2" t="s">
        <v>108</v>
      </c>
      <c r="E513" s="2">
        <v>2020</v>
      </c>
      <c r="F513" s="2" t="s">
        <v>337</v>
      </c>
      <c r="G513" s="2" t="s">
        <v>1667</v>
      </c>
      <c r="H513" s="2" t="s">
        <v>1669</v>
      </c>
      <c r="I513" s="1" t="s">
        <v>14</v>
      </c>
      <c r="J513" s="1" t="s">
        <v>1465</v>
      </c>
      <c r="L513" s="34">
        <v>0.18</v>
      </c>
      <c r="N513" s="35">
        <v>95.31</v>
      </c>
      <c r="O513" s="35"/>
      <c r="P513" s="35"/>
      <c r="Q513" s="35"/>
      <c r="R513" s="14"/>
      <c r="S513" s="14"/>
      <c r="T513" s="35"/>
      <c r="U513" s="35"/>
    </row>
    <row r="514" spans="1:22" ht="25.5" x14ac:dyDescent="0.2">
      <c r="A514" s="1" t="s">
        <v>147</v>
      </c>
      <c r="B514" s="2" t="s">
        <v>38</v>
      </c>
      <c r="C514" s="2" t="s">
        <v>148</v>
      </c>
      <c r="D514" s="2" t="s">
        <v>108</v>
      </c>
      <c r="E514" s="2">
        <v>2020</v>
      </c>
      <c r="F514" s="2" t="s">
        <v>364</v>
      </c>
      <c r="G514" s="2" t="s">
        <v>1667</v>
      </c>
      <c r="H514" s="2" t="s">
        <v>1669</v>
      </c>
      <c r="I514" s="1" t="s">
        <v>14</v>
      </c>
      <c r="J514" s="1" t="s">
        <v>1559</v>
      </c>
      <c r="L514" s="34">
        <v>0.17799999999999999</v>
      </c>
      <c r="N514" s="35">
        <v>88.2</v>
      </c>
      <c r="O514" s="35"/>
      <c r="P514" s="35"/>
      <c r="Q514" s="35"/>
      <c r="R514" s="14"/>
      <c r="S514" s="14"/>
      <c r="T514" s="35"/>
      <c r="U514" s="35"/>
    </row>
    <row r="515" spans="1:22" ht="25.5" x14ac:dyDescent="0.2">
      <c r="A515" s="1" t="s">
        <v>147</v>
      </c>
      <c r="B515" s="2" t="s">
        <v>38</v>
      </c>
      <c r="C515" s="2" t="s">
        <v>148</v>
      </c>
      <c r="D515" s="2" t="s">
        <v>108</v>
      </c>
      <c r="E515" s="2">
        <v>2020</v>
      </c>
      <c r="F515" s="2" t="s">
        <v>388</v>
      </c>
      <c r="G515" s="2" t="s">
        <v>1667</v>
      </c>
      <c r="H515" s="2" t="s">
        <v>1669</v>
      </c>
      <c r="I515" s="1" t="s">
        <v>14</v>
      </c>
      <c r="J515" s="1" t="s">
        <v>1625</v>
      </c>
      <c r="L515" s="34">
        <v>0.16700000000000001</v>
      </c>
      <c r="M515" s="35"/>
      <c r="N515" s="35">
        <v>76.349999999999994</v>
      </c>
      <c r="O515" s="35"/>
      <c r="P515" s="35"/>
      <c r="Q515" s="35"/>
      <c r="R515" s="35"/>
      <c r="S515" s="35"/>
      <c r="T515" s="35"/>
      <c r="U515" s="35"/>
    </row>
    <row r="516" spans="1:22" ht="25.5" x14ac:dyDescent="0.2">
      <c r="A516" s="1" t="s">
        <v>254</v>
      </c>
      <c r="B516" s="2" t="s">
        <v>32</v>
      </c>
      <c r="C516" s="2" t="s">
        <v>255</v>
      </c>
      <c r="D516" s="2" t="s">
        <v>88</v>
      </c>
      <c r="E516" s="2">
        <v>2020</v>
      </c>
      <c r="F516" s="2" t="s">
        <v>203</v>
      </c>
      <c r="G516" s="2" t="s">
        <v>1667</v>
      </c>
      <c r="H516" s="2" t="s">
        <v>1669</v>
      </c>
      <c r="I516" s="1" t="s">
        <v>14</v>
      </c>
      <c r="J516" s="1" t="s">
        <v>680</v>
      </c>
      <c r="L516" s="5"/>
      <c r="M516" s="35"/>
      <c r="N516" s="35"/>
      <c r="O516" s="35"/>
      <c r="P516" s="35"/>
      <c r="Q516" s="35"/>
      <c r="R516" s="6"/>
      <c r="S516" s="35"/>
      <c r="T516" s="35"/>
      <c r="U516" s="35"/>
    </row>
    <row r="517" spans="1:22" ht="76.5" x14ac:dyDescent="0.2">
      <c r="A517" s="1" t="s">
        <v>254</v>
      </c>
      <c r="B517" s="2" t="s">
        <v>32</v>
      </c>
      <c r="C517" s="2" t="s">
        <v>255</v>
      </c>
      <c r="D517" s="2" t="s">
        <v>88</v>
      </c>
      <c r="E517" s="2">
        <v>2020</v>
      </c>
      <c r="F517" s="2" t="s">
        <v>256</v>
      </c>
      <c r="G517" s="2" t="s">
        <v>1667</v>
      </c>
      <c r="H517" s="2" t="s">
        <v>1669</v>
      </c>
      <c r="I517" s="1" t="s">
        <v>14</v>
      </c>
      <c r="J517" s="1" t="s">
        <v>900</v>
      </c>
      <c r="L517" s="34">
        <v>0.06</v>
      </c>
      <c r="M517" s="35"/>
      <c r="N517" s="35"/>
      <c r="O517" s="35"/>
      <c r="P517" s="35"/>
      <c r="Q517" s="35"/>
      <c r="S517" s="14"/>
      <c r="T517" s="35"/>
      <c r="U517" s="39">
        <v>194.71</v>
      </c>
      <c r="V517" s="60" t="s">
        <v>1760</v>
      </c>
    </row>
    <row r="518" spans="1:22" ht="76.5" x14ac:dyDescent="0.2">
      <c r="A518" s="1" t="s">
        <v>254</v>
      </c>
      <c r="B518" s="2" t="s">
        <v>32</v>
      </c>
      <c r="C518" s="2" t="s">
        <v>255</v>
      </c>
      <c r="D518" s="2" t="s">
        <v>88</v>
      </c>
      <c r="E518" s="2">
        <v>2020</v>
      </c>
      <c r="F518" s="2" t="s">
        <v>337</v>
      </c>
      <c r="G518" s="2" t="s">
        <v>1667</v>
      </c>
      <c r="H518" s="2" t="s">
        <v>1669</v>
      </c>
      <c r="I518" s="1" t="s">
        <v>14</v>
      </c>
      <c r="J518" s="1" t="s">
        <v>1394</v>
      </c>
      <c r="L518" s="34">
        <v>0.05</v>
      </c>
      <c r="M518" s="35"/>
      <c r="N518" s="35"/>
      <c r="O518" s="35"/>
      <c r="P518" s="35"/>
      <c r="Q518" s="35"/>
      <c r="S518" s="14"/>
      <c r="T518" s="35"/>
      <c r="U518" s="39">
        <v>167.87</v>
      </c>
      <c r="V518" s="60" t="s">
        <v>1760</v>
      </c>
    </row>
    <row r="519" spans="1:22" ht="25.5" x14ac:dyDescent="0.2">
      <c r="A519" s="1" t="s">
        <v>1452</v>
      </c>
      <c r="B519" s="2" t="s">
        <v>264</v>
      </c>
      <c r="C519" s="2" t="s">
        <v>1453</v>
      </c>
      <c r="D519" s="2" t="s">
        <v>121</v>
      </c>
      <c r="E519" s="2">
        <v>2020</v>
      </c>
      <c r="F519" s="2" t="s">
        <v>337</v>
      </c>
      <c r="G519" s="2" t="s">
        <v>1669</v>
      </c>
      <c r="H519" s="2" t="s">
        <v>1668</v>
      </c>
      <c r="I519" s="1" t="s">
        <v>1454</v>
      </c>
      <c r="J519" s="1" t="s">
        <v>1454</v>
      </c>
      <c r="L519" s="34"/>
      <c r="M519" s="35"/>
      <c r="N519" s="35"/>
      <c r="O519" s="35"/>
      <c r="P519" s="35"/>
      <c r="Q519" s="35"/>
      <c r="R519" s="14"/>
      <c r="S519" s="14"/>
      <c r="T519" s="35"/>
      <c r="U519" s="35"/>
      <c r="V519" s="60"/>
    </row>
    <row r="520" spans="1:22" ht="63.75" x14ac:dyDescent="0.2">
      <c r="A520" s="1" t="s">
        <v>390</v>
      </c>
      <c r="B520" s="2" t="s">
        <v>391</v>
      </c>
      <c r="C520" s="2" t="s">
        <v>392</v>
      </c>
      <c r="D520" s="2" t="s">
        <v>240</v>
      </c>
      <c r="E520" s="2">
        <v>2020</v>
      </c>
      <c r="F520" s="2" t="s">
        <v>364</v>
      </c>
      <c r="G520" s="2" t="s">
        <v>1669</v>
      </c>
      <c r="H520" s="2" t="s">
        <v>1669</v>
      </c>
      <c r="I520" s="1" t="s">
        <v>1576</v>
      </c>
      <c r="J520" s="1" t="s">
        <v>1577</v>
      </c>
      <c r="L520" s="34" t="s">
        <v>1670</v>
      </c>
      <c r="M520" s="35"/>
      <c r="N520" s="35"/>
      <c r="O520" s="35"/>
      <c r="P520" s="35"/>
      <c r="Q520" s="35">
        <v>84</v>
      </c>
      <c r="R520" s="14"/>
      <c r="S520" s="14"/>
      <c r="T520" s="35"/>
      <c r="U520" s="35"/>
      <c r="V520" s="60" t="s">
        <v>1756</v>
      </c>
    </row>
    <row r="521" spans="1:22" ht="51" x14ac:dyDescent="0.2">
      <c r="A521" s="1" t="s">
        <v>865</v>
      </c>
      <c r="B521" s="2" t="s">
        <v>340</v>
      </c>
      <c r="C521" s="2" t="s">
        <v>866</v>
      </c>
      <c r="D521" s="2" t="s">
        <v>77</v>
      </c>
      <c r="E521" s="2">
        <v>2020</v>
      </c>
      <c r="F521" s="2" t="s">
        <v>256</v>
      </c>
      <c r="G521" s="2" t="s">
        <v>1669</v>
      </c>
      <c r="H521" s="2" t="s">
        <v>1668</v>
      </c>
      <c r="I521" s="1" t="s">
        <v>867</v>
      </c>
      <c r="J521" s="1" t="s">
        <v>14</v>
      </c>
      <c r="L521" s="34"/>
      <c r="M521" s="35"/>
      <c r="N521" s="35"/>
      <c r="O521" s="35"/>
      <c r="P521" s="35"/>
      <c r="Q521" s="35"/>
      <c r="R521" s="14"/>
      <c r="S521" s="14"/>
      <c r="T521" s="35"/>
      <c r="U521" s="35"/>
      <c r="V521" s="60" t="s">
        <v>1706</v>
      </c>
    </row>
    <row r="522" spans="1:22" ht="38.25" x14ac:dyDescent="0.2">
      <c r="A522" s="1" t="s">
        <v>93</v>
      </c>
      <c r="B522" s="2" t="s">
        <v>38</v>
      </c>
      <c r="C522" s="2" t="s">
        <v>94</v>
      </c>
      <c r="D522" s="2" t="s">
        <v>58</v>
      </c>
      <c r="E522" s="2">
        <v>2020</v>
      </c>
      <c r="F522" s="2" t="s">
        <v>13</v>
      </c>
      <c r="G522" s="2" t="s">
        <v>1667</v>
      </c>
      <c r="H522" s="2" t="s">
        <v>1669</v>
      </c>
      <c r="I522" s="1" t="s">
        <v>14</v>
      </c>
      <c r="J522" s="1" t="s">
        <v>506</v>
      </c>
      <c r="L522" s="34">
        <v>0.217</v>
      </c>
      <c r="M522" s="35"/>
      <c r="N522" s="35">
        <v>155.93</v>
      </c>
      <c r="O522" s="35"/>
      <c r="P522" s="35"/>
      <c r="Q522" s="35"/>
      <c r="R522" s="35"/>
      <c r="S522" s="35"/>
      <c r="T522" s="35"/>
      <c r="U522" s="35"/>
      <c r="V522" s="60" t="s">
        <v>1737</v>
      </c>
    </row>
    <row r="523" spans="1:22" ht="38.25" x14ac:dyDescent="0.2">
      <c r="A523" s="1" t="s">
        <v>93</v>
      </c>
      <c r="B523" s="2" t="s">
        <v>38</v>
      </c>
      <c r="C523" s="2" t="s">
        <v>94</v>
      </c>
      <c r="D523" s="2" t="s">
        <v>58</v>
      </c>
      <c r="E523" s="2">
        <v>2020</v>
      </c>
      <c r="F523" s="2" t="s">
        <v>188</v>
      </c>
      <c r="G523" s="2" t="s">
        <v>1667</v>
      </c>
      <c r="H523" s="2" t="s">
        <v>1669</v>
      </c>
      <c r="I523" s="1" t="s">
        <v>14</v>
      </c>
      <c r="J523" s="1" t="s">
        <v>606</v>
      </c>
      <c r="L523" s="34">
        <v>0.221</v>
      </c>
      <c r="M523" s="35"/>
      <c r="N523" s="35">
        <v>137.03</v>
      </c>
      <c r="O523" s="35"/>
      <c r="P523" s="35"/>
      <c r="Q523" s="35"/>
      <c r="R523" s="14"/>
      <c r="S523" s="35"/>
      <c r="T523" s="35"/>
      <c r="U523" s="35"/>
      <c r="V523" s="60" t="s">
        <v>1737</v>
      </c>
    </row>
    <row r="524" spans="1:22" ht="51" x14ac:dyDescent="0.2">
      <c r="A524" s="1" t="s">
        <v>93</v>
      </c>
      <c r="B524" s="2" t="s">
        <v>38</v>
      </c>
      <c r="C524" s="2" t="s">
        <v>94</v>
      </c>
      <c r="D524" s="2" t="s">
        <v>58</v>
      </c>
      <c r="E524" s="2">
        <v>2020</v>
      </c>
      <c r="F524" s="2" t="s">
        <v>203</v>
      </c>
      <c r="G524" s="2" t="s">
        <v>1667</v>
      </c>
      <c r="H524" s="2" t="s">
        <v>1669</v>
      </c>
      <c r="I524" s="1" t="s">
        <v>14</v>
      </c>
      <c r="J524" s="1" t="s">
        <v>656</v>
      </c>
      <c r="L524" s="34">
        <v>0.24199999999999999</v>
      </c>
      <c r="M524" s="35"/>
      <c r="N524" s="35">
        <v>129.41</v>
      </c>
      <c r="O524" s="35"/>
      <c r="P524" s="35"/>
      <c r="Q524" s="35"/>
      <c r="R524" s="14"/>
      <c r="S524" s="35"/>
      <c r="T524" s="35"/>
      <c r="U524" s="35"/>
    </row>
    <row r="525" spans="1:22" ht="25.5" x14ac:dyDescent="0.2">
      <c r="A525" s="1" t="s">
        <v>93</v>
      </c>
      <c r="B525" s="2" t="s">
        <v>38</v>
      </c>
      <c r="C525" s="2" t="s">
        <v>94</v>
      </c>
      <c r="D525" s="2" t="s">
        <v>58</v>
      </c>
      <c r="E525" s="2">
        <v>2020</v>
      </c>
      <c r="F525" s="2" t="s">
        <v>211</v>
      </c>
      <c r="G525" s="2" t="s">
        <v>1667</v>
      </c>
      <c r="H525" s="2" t="s">
        <v>1669</v>
      </c>
      <c r="I525" s="1" t="s">
        <v>14</v>
      </c>
      <c r="J525" s="1" t="s">
        <v>727</v>
      </c>
      <c r="L525" s="34">
        <v>0.23400000000000001</v>
      </c>
      <c r="M525" s="35"/>
      <c r="N525" s="35">
        <v>113.5</v>
      </c>
      <c r="O525" s="35"/>
      <c r="P525" s="35"/>
      <c r="Q525" s="35"/>
      <c r="R525" s="14"/>
      <c r="S525" s="35"/>
      <c r="T525" s="35"/>
      <c r="U525" s="35"/>
    </row>
    <row r="526" spans="1:22" ht="38.25" x14ac:dyDescent="0.2">
      <c r="A526" s="1" t="s">
        <v>93</v>
      </c>
      <c r="B526" s="2" t="s">
        <v>38</v>
      </c>
      <c r="C526" s="2" t="s">
        <v>94</v>
      </c>
      <c r="D526" s="2" t="s">
        <v>58</v>
      </c>
      <c r="E526" s="2">
        <v>2020</v>
      </c>
      <c r="F526" s="2" t="s">
        <v>221</v>
      </c>
      <c r="G526" s="2" t="s">
        <v>1667</v>
      </c>
      <c r="H526" s="2" t="s">
        <v>1669</v>
      </c>
      <c r="I526" s="1" t="s">
        <v>14</v>
      </c>
      <c r="J526" s="1" t="s">
        <v>835</v>
      </c>
      <c r="L526" s="34">
        <v>0.21099999999999999</v>
      </c>
      <c r="M526" s="35"/>
      <c r="N526" s="35">
        <v>170.48</v>
      </c>
      <c r="O526" s="35"/>
      <c r="P526" s="35"/>
      <c r="Q526" s="35"/>
      <c r="R526" s="14"/>
      <c r="S526" s="14"/>
      <c r="T526" s="35"/>
      <c r="U526" s="35"/>
    </row>
    <row r="527" spans="1:22" ht="25.5" x14ac:dyDescent="0.2">
      <c r="A527" s="1" t="s">
        <v>93</v>
      </c>
      <c r="B527" s="2" t="s">
        <v>38</v>
      </c>
      <c r="C527" s="2" t="s">
        <v>94</v>
      </c>
      <c r="D527" s="2" t="s">
        <v>58</v>
      </c>
      <c r="E527" s="2">
        <v>2020</v>
      </c>
      <c r="F527" s="2" t="s">
        <v>256</v>
      </c>
      <c r="G527" s="2" t="s">
        <v>1667</v>
      </c>
      <c r="H527" s="2" t="s">
        <v>1669</v>
      </c>
      <c r="I527" s="1" t="s">
        <v>14</v>
      </c>
      <c r="J527" s="1" t="s">
        <v>908</v>
      </c>
      <c r="L527" s="34">
        <v>0.23499999999999999</v>
      </c>
      <c r="M527" s="35"/>
      <c r="N527" s="35">
        <v>158.27000000000001</v>
      </c>
      <c r="O527" s="35"/>
      <c r="P527" s="35"/>
      <c r="Q527" s="35"/>
      <c r="R527" s="14"/>
      <c r="S527" s="14"/>
      <c r="T527" s="35"/>
      <c r="U527" s="35"/>
    </row>
    <row r="528" spans="1:22" ht="38.25" x14ac:dyDescent="0.2">
      <c r="A528" s="1" t="s">
        <v>93</v>
      </c>
      <c r="B528" s="2" t="s">
        <v>38</v>
      </c>
      <c r="C528" s="2" t="s">
        <v>94</v>
      </c>
      <c r="D528" s="2" t="s">
        <v>58</v>
      </c>
      <c r="E528" s="2">
        <v>2020</v>
      </c>
      <c r="F528" s="2" t="s">
        <v>276</v>
      </c>
      <c r="G528" s="2" t="s">
        <v>1667</v>
      </c>
      <c r="H528" s="2" t="s">
        <v>1669</v>
      </c>
      <c r="I528" s="1" t="s">
        <v>14</v>
      </c>
      <c r="J528" s="1" t="s">
        <v>1020</v>
      </c>
      <c r="L528" s="34">
        <v>0.23699999999999999</v>
      </c>
      <c r="M528" s="35"/>
      <c r="N528" s="35">
        <v>164.13</v>
      </c>
      <c r="O528" s="35"/>
      <c r="P528" s="35"/>
      <c r="Q528" s="35"/>
      <c r="R528" s="14"/>
      <c r="S528" s="14"/>
      <c r="T528" s="35"/>
      <c r="U528" s="35"/>
    </row>
    <row r="529" spans="1:22" ht="38.25" x14ac:dyDescent="0.2">
      <c r="A529" s="1" t="s">
        <v>93</v>
      </c>
      <c r="B529" s="2" t="s">
        <v>38</v>
      </c>
      <c r="C529" s="2" t="s">
        <v>94</v>
      </c>
      <c r="D529" s="2" t="s">
        <v>58</v>
      </c>
      <c r="E529" s="2">
        <v>2020</v>
      </c>
      <c r="F529" s="2" t="s">
        <v>291</v>
      </c>
      <c r="G529" s="2" t="s">
        <v>1667</v>
      </c>
      <c r="H529" s="2" t="s">
        <v>1669</v>
      </c>
      <c r="I529" s="1" t="s">
        <v>14</v>
      </c>
      <c r="J529" s="1" t="s">
        <v>1180</v>
      </c>
      <c r="L529" s="34">
        <v>0.217</v>
      </c>
      <c r="M529" s="35"/>
      <c r="N529" s="35">
        <v>157.9</v>
      </c>
      <c r="O529" s="35"/>
      <c r="P529" s="35"/>
      <c r="Q529" s="35"/>
      <c r="R529" s="14"/>
      <c r="S529" s="14"/>
      <c r="T529" s="35"/>
      <c r="U529" s="35"/>
      <c r="V529" s="60" t="s">
        <v>1737</v>
      </c>
    </row>
    <row r="530" spans="1:22" ht="25.5" x14ac:dyDescent="0.2">
      <c r="A530" s="1" t="s">
        <v>93</v>
      </c>
      <c r="B530" s="2" t="s">
        <v>38</v>
      </c>
      <c r="C530" s="2" t="s">
        <v>94</v>
      </c>
      <c r="D530" s="2" t="s">
        <v>58</v>
      </c>
      <c r="E530" s="2">
        <v>2020</v>
      </c>
      <c r="F530" s="2" t="s">
        <v>311</v>
      </c>
      <c r="G530" s="2" t="s">
        <v>1667</v>
      </c>
      <c r="H530" s="2" t="s">
        <v>1669</v>
      </c>
      <c r="I530" s="1" t="s">
        <v>14</v>
      </c>
      <c r="J530" s="1" t="s">
        <v>1310</v>
      </c>
      <c r="L530" s="35">
        <v>21.7</v>
      </c>
      <c r="N530" s="35">
        <v>176.17</v>
      </c>
      <c r="O530" s="35"/>
      <c r="P530" s="35"/>
      <c r="Q530" s="35"/>
      <c r="R530" s="14"/>
      <c r="S530" s="14"/>
      <c r="T530" s="35"/>
      <c r="U530" s="35"/>
      <c r="V530" s="60"/>
    </row>
    <row r="531" spans="1:22" ht="38.25" x14ac:dyDescent="0.2">
      <c r="A531" s="1" t="s">
        <v>93</v>
      </c>
      <c r="B531" s="2" t="s">
        <v>38</v>
      </c>
      <c r="C531" s="2" t="s">
        <v>94</v>
      </c>
      <c r="D531" s="2" t="s">
        <v>58</v>
      </c>
      <c r="E531" s="2">
        <v>2020</v>
      </c>
      <c r="F531" s="2" t="s">
        <v>337</v>
      </c>
      <c r="G531" s="2" t="s">
        <v>1667</v>
      </c>
      <c r="H531" s="2" t="s">
        <v>1669</v>
      </c>
      <c r="I531" s="1" t="s">
        <v>14</v>
      </c>
      <c r="J531" s="1" t="s">
        <v>1348</v>
      </c>
      <c r="L531" s="34">
        <v>0.249</v>
      </c>
      <c r="M531" s="35"/>
      <c r="N531" s="35">
        <v>158.69999999999999</v>
      </c>
      <c r="O531" s="35"/>
      <c r="P531" s="35"/>
      <c r="Q531" s="35"/>
      <c r="R531" s="14"/>
      <c r="S531" s="14"/>
      <c r="T531" s="35"/>
      <c r="U531" s="35"/>
      <c r="V531" s="60" t="s">
        <v>1737</v>
      </c>
    </row>
    <row r="532" spans="1:22" ht="38.25" x14ac:dyDescent="0.2">
      <c r="A532" s="1" t="s">
        <v>93</v>
      </c>
      <c r="B532" s="2" t="s">
        <v>38</v>
      </c>
      <c r="C532" s="2" t="s">
        <v>94</v>
      </c>
      <c r="D532" s="2" t="s">
        <v>58</v>
      </c>
      <c r="E532" s="2">
        <v>2020</v>
      </c>
      <c r="F532" s="2" t="s">
        <v>364</v>
      </c>
      <c r="G532" s="2" t="s">
        <v>1667</v>
      </c>
      <c r="H532" s="2" t="s">
        <v>1669</v>
      </c>
      <c r="I532" s="1" t="s">
        <v>14</v>
      </c>
      <c r="J532" s="1" t="s">
        <v>1565</v>
      </c>
      <c r="L532" s="34">
        <v>0.182</v>
      </c>
      <c r="M532" s="35"/>
      <c r="N532" s="35">
        <v>203.4</v>
      </c>
      <c r="O532" s="35"/>
      <c r="P532" s="35"/>
      <c r="Q532" s="35"/>
      <c r="R532" s="14"/>
      <c r="S532" s="14"/>
      <c r="T532" s="35"/>
      <c r="U532" s="35"/>
    </row>
    <row r="533" spans="1:22" ht="25.5" x14ac:dyDescent="0.2">
      <c r="A533" s="1" t="s">
        <v>93</v>
      </c>
      <c r="B533" s="2" t="s">
        <v>38</v>
      </c>
      <c r="C533" s="2" t="s">
        <v>94</v>
      </c>
      <c r="D533" s="2" t="s">
        <v>58</v>
      </c>
      <c r="E533" s="2">
        <v>2020</v>
      </c>
      <c r="F533" s="2" t="s">
        <v>388</v>
      </c>
      <c r="G533" s="2" t="s">
        <v>1667</v>
      </c>
      <c r="H533" s="2" t="s">
        <v>1669</v>
      </c>
      <c r="I533" s="1" t="s">
        <v>14</v>
      </c>
      <c r="J533" s="1" t="s">
        <v>1631</v>
      </c>
      <c r="L533" s="34">
        <v>0.21199999999999999</v>
      </c>
      <c r="M533" s="35"/>
      <c r="N533" s="35">
        <v>181.56</v>
      </c>
      <c r="O533" s="35"/>
      <c r="P533" s="35"/>
      <c r="Q533" s="35"/>
      <c r="R533" s="35"/>
      <c r="S533" s="35"/>
      <c r="T533" s="35"/>
      <c r="U533" s="35"/>
    </row>
    <row r="534" spans="1:22" ht="114.75" x14ac:dyDescent="0.2">
      <c r="A534" s="1" t="s">
        <v>1280</v>
      </c>
      <c r="B534" s="2" t="s">
        <v>196</v>
      </c>
      <c r="C534" s="2" t="s">
        <v>1281</v>
      </c>
      <c r="D534" s="2" t="s">
        <v>314</v>
      </c>
      <c r="E534" s="2">
        <v>2020</v>
      </c>
      <c r="F534" s="2" t="s">
        <v>311</v>
      </c>
      <c r="G534" s="2" t="s">
        <v>1669</v>
      </c>
      <c r="H534" s="2" t="s">
        <v>1668</v>
      </c>
      <c r="I534" s="1" t="s">
        <v>1282</v>
      </c>
      <c r="J534" s="1" t="s">
        <v>14</v>
      </c>
      <c r="L534" s="34"/>
      <c r="M534" s="35"/>
      <c r="N534" s="35"/>
      <c r="O534" s="35"/>
      <c r="P534" s="35"/>
      <c r="Q534" s="35"/>
      <c r="R534" s="14"/>
      <c r="S534" s="14"/>
      <c r="T534" s="35"/>
      <c r="U534" s="35"/>
      <c r="V534" s="60" t="s">
        <v>1693</v>
      </c>
    </row>
    <row r="535" spans="1:22" ht="76.5" x14ac:dyDescent="0.2">
      <c r="A535" s="1" t="s">
        <v>1075</v>
      </c>
      <c r="B535" s="2" t="s">
        <v>196</v>
      </c>
      <c r="C535" s="2" t="s">
        <v>1076</v>
      </c>
      <c r="D535" s="2" t="s">
        <v>1077</v>
      </c>
      <c r="E535" s="2">
        <v>2020</v>
      </c>
      <c r="F535" s="2" t="s">
        <v>291</v>
      </c>
      <c r="G535" s="2" t="s">
        <v>1669</v>
      </c>
      <c r="H535" s="2" t="s">
        <v>1668</v>
      </c>
      <c r="I535" s="1" t="s">
        <v>1078</v>
      </c>
      <c r="J535" s="1" t="s">
        <v>1079</v>
      </c>
      <c r="L535" s="34"/>
      <c r="M535" s="35"/>
      <c r="N535" s="35"/>
      <c r="O535" s="35"/>
      <c r="P535" s="35"/>
      <c r="Q535" s="35"/>
      <c r="R535" s="14"/>
      <c r="S535" s="14"/>
      <c r="T535" s="35"/>
      <c r="U535" s="35"/>
    </row>
    <row r="536" spans="1:22" ht="51" x14ac:dyDescent="0.2">
      <c r="A536" s="1" t="s">
        <v>1075</v>
      </c>
      <c r="B536" s="2" t="s">
        <v>196</v>
      </c>
      <c r="C536" s="2" t="s">
        <v>1076</v>
      </c>
      <c r="D536" s="2" t="s">
        <v>1077</v>
      </c>
      <c r="E536" s="2">
        <v>2020</v>
      </c>
      <c r="F536" s="2" t="s">
        <v>311</v>
      </c>
      <c r="G536" s="2" t="s">
        <v>1669</v>
      </c>
      <c r="H536" s="2" t="s">
        <v>1669</v>
      </c>
      <c r="I536" s="1" t="s">
        <v>1300</v>
      </c>
      <c r="J536" s="1" t="s">
        <v>1301</v>
      </c>
      <c r="L536" s="34">
        <v>0.25</v>
      </c>
      <c r="M536" s="35"/>
      <c r="N536" s="35"/>
      <c r="O536" s="35"/>
      <c r="P536" s="35"/>
      <c r="Q536" s="35"/>
      <c r="R536" s="14"/>
      <c r="S536" s="14"/>
      <c r="T536" s="35"/>
      <c r="U536" s="35"/>
      <c r="V536" s="60" t="s">
        <v>1683</v>
      </c>
    </row>
    <row r="537" spans="1:22" ht="51" x14ac:dyDescent="0.2">
      <c r="A537" s="1" t="s">
        <v>1075</v>
      </c>
      <c r="B537" s="2" t="s">
        <v>196</v>
      </c>
      <c r="C537" s="2" t="s">
        <v>1076</v>
      </c>
      <c r="D537" s="2" t="s">
        <v>1077</v>
      </c>
      <c r="E537" s="2">
        <v>2020</v>
      </c>
      <c r="F537" s="2" t="s">
        <v>337</v>
      </c>
      <c r="G537" s="2" t="s">
        <v>1669</v>
      </c>
      <c r="H537" s="2" t="s">
        <v>1669</v>
      </c>
      <c r="I537" s="1" t="s">
        <v>1351</v>
      </c>
      <c r="J537" s="1" t="s">
        <v>1352</v>
      </c>
      <c r="L537" s="34">
        <v>0.25</v>
      </c>
      <c r="M537" s="35"/>
      <c r="N537" s="35"/>
      <c r="O537" s="35"/>
      <c r="P537" s="35"/>
      <c r="Q537" s="35"/>
      <c r="R537" s="14"/>
      <c r="S537" s="14"/>
      <c r="T537" s="35"/>
      <c r="U537" s="35"/>
      <c r="V537" s="60" t="s">
        <v>1683</v>
      </c>
    </row>
    <row r="538" spans="1:22" ht="89.25" x14ac:dyDescent="0.2">
      <c r="A538" s="1" t="s">
        <v>1075</v>
      </c>
      <c r="B538" s="2" t="s">
        <v>196</v>
      </c>
      <c r="C538" s="2" t="s">
        <v>1076</v>
      </c>
      <c r="D538" s="2" t="s">
        <v>1077</v>
      </c>
      <c r="E538" s="2">
        <v>2020</v>
      </c>
      <c r="F538" s="2" t="s">
        <v>364</v>
      </c>
      <c r="G538" s="2" t="s">
        <v>1669</v>
      </c>
      <c r="H538" s="2" t="s">
        <v>1669</v>
      </c>
      <c r="I538" s="1" t="s">
        <v>1552</v>
      </c>
      <c r="J538" s="1" t="s">
        <v>1553</v>
      </c>
      <c r="L538" s="34">
        <v>0.25</v>
      </c>
      <c r="M538" s="35"/>
      <c r="N538" s="35"/>
      <c r="O538" s="35"/>
      <c r="P538" s="35"/>
      <c r="Q538" s="35"/>
      <c r="R538" s="14"/>
      <c r="S538" s="14"/>
      <c r="T538" s="35"/>
      <c r="U538" s="35"/>
      <c r="V538" s="60" t="s">
        <v>1683</v>
      </c>
    </row>
    <row r="539" spans="1:22" ht="51" x14ac:dyDescent="0.2">
      <c r="A539" s="1" t="s">
        <v>1331</v>
      </c>
      <c r="B539" s="2" t="s">
        <v>196</v>
      </c>
      <c r="C539" s="2" t="s">
        <v>1332</v>
      </c>
      <c r="D539" s="2" t="s">
        <v>338</v>
      </c>
      <c r="E539" s="2">
        <v>2020</v>
      </c>
      <c r="F539" s="2" t="s">
        <v>311</v>
      </c>
      <c r="G539" s="2" t="s">
        <v>1669</v>
      </c>
      <c r="H539" s="2" t="s">
        <v>1669</v>
      </c>
      <c r="I539" s="1" t="s">
        <v>1333</v>
      </c>
      <c r="J539" s="1" t="s">
        <v>1334</v>
      </c>
      <c r="L539" s="34"/>
      <c r="M539" s="35"/>
      <c r="N539" s="35"/>
      <c r="O539" s="35"/>
      <c r="P539" s="35"/>
      <c r="Q539" s="35"/>
      <c r="R539" s="14"/>
      <c r="S539" s="14"/>
      <c r="T539" s="35"/>
      <c r="U539" s="35"/>
      <c r="V539" s="60" t="s">
        <v>1693</v>
      </c>
    </row>
    <row r="540" spans="1:22" ht="102" x14ac:dyDescent="0.2">
      <c r="A540" s="1" t="s">
        <v>1169</v>
      </c>
      <c r="B540" s="2" t="s">
        <v>196</v>
      </c>
      <c r="C540" s="2" t="s">
        <v>1170</v>
      </c>
      <c r="D540" s="2" t="s">
        <v>473</v>
      </c>
      <c r="E540" s="2">
        <v>2020</v>
      </c>
      <c r="F540" s="2" t="s">
        <v>291</v>
      </c>
      <c r="G540" s="2" t="s">
        <v>1669</v>
      </c>
      <c r="H540" s="2" t="s">
        <v>1669</v>
      </c>
      <c r="I540" s="1" t="s">
        <v>1171</v>
      </c>
      <c r="J540" s="1" t="s">
        <v>1172</v>
      </c>
      <c r="L540" s="5">
        <v>0.1789</v>
      </c>
      <c r="M540" s="35"/>
      <c r="N540" s="36">
        <f>101.72/L540</f>
        <v>568.58580212409163</v>
      </c>
      <c r="O540" s="35"/>
      <c r="P540" s="35"/>
      <c r="Q540" s="35"/>
      <c r="R540" s="6"/>
      <c r="S540" s="6"/>
      <c r="T540" s="35"/>
      <c r="U540" s="35"/>
    </row>
    <row r="541" spans="1:22" ht="88.5" customHeight="1" x14ac:dyDescent="0.2">
      <c r="A541" s="1" t="s">
        <v>1009</v>
      </c>
      <c r="B541" s="2" t="s">
        <v>196</v>
      </c>
      <c r="C541" s="2" t="s">
        <v>1010</v>
      </c>
      <c r="D541" s="2" t="s">
        <v>314</v>
      </c>
      <c r="E541" s="2">
        <v>2020</v>
      </c>
      <c r="F541" s="2" t="s">
        <v>276</v>
      </c>
      <c r="G541" s="2" t="s">
        <v>1669</v>
      </c>
      <c r="H541" s="2" t="s">
        <v>1669</v>
      </c>
      <c r="I541" s="1" t="s">
        <v>1011</v>
      </c>
      <c r="J541" s="1" t="s">
        <v>1012</v>
      </c>
      <c r="L541" s="34">
        <v>0.26519999999999999</v>
      </c>
      <c r="M541" s="35"/>
      <c r="N541" s="36">
        <f>((4656+2238+6657+451)*0.04)/L541</f>
        <v>2111.9155354449476</v>
      </c>
      <c r="O541" s="35"/>
      <c r="P541" s="35"/>
      <c r="Q541" s="35"/>
      <c r="R541" s="14"/>
      <c r="S541" s="14"/>
      <c r="T541" s="35"/>
      <c r="U541" s="35"/>
      <c r="V541" s="60" t="s">
        <v>1707</v>
      </c>
    </row>
    <row r="542" spans="1:22" ht="102" x14ac:dyDescent="0.2">
      <c r="A542" s="1" t="s">
        <v>1009</v>
      </c>
      <c r="B542" s="2" t="s">
        <v>196</v>
      </c>
      <c r="C542" s="2" t="s">
        <v>1010</v>
      </c>
      <c r="D542" s="2" t="s">
        <v>314</v>
      </c>
      <c r="E542" s="2">
        <v>2020</v>
      </c>
      <c r="F542" s="2" t="s">
        <v>291</v>
      </c>
      <c r="G542" s="2" t="s">
        <v>1669</v>
      </c>
      <c r="H542" s="2" t="s">
        <v>1669</v>
      </c>
      <c r="I542" s="1" t="s">
        <v>1011</v>
      </c>
      <c r="J542" s="1" t="s">
        <v>1012</v>
      </c>
      <c r="L542" s="34"/>
      <c r="M542" s="35"/>
      <c r="N542" s="35"/>
      <c r="O542" s="35"/>
      <c r="P542" s="35"/>
      <c r="Q542" s="35"/>
      <c r="R542" s="14"/>
      <c r="S542" s="14"/>
      <c r="T542" s="35"/>
      <c r="U542" s="35"/>
      <c r="V542" s="61" t="s">
        <v>1708</v>
      </c>
    </row>
    <row r="543" spans="1:22" ht="102" x14ac:dyDescent="0.2">
      <c r="A543" s="1" t="s">
        <v>95</v>
      </c>
      <c r="B543" s="2" t="s">
        <v>24</v>
      </c>
      <c r="C543" s="2" t="s">
        <v>96</v>
      </c>
      <c r="D543" s="2" t="s">
        <v>97</v>
      </c>
      <c r="E543" s="2">
        <v>2020</v>
      </c>
      <c r="F543" s="2" t="s">
        <v>13</v>
      </c>
      <c r="G543" s="2" t="s">
        <v>1668</v>
      </c>
      <c r="H543" s="2" t="s">
        <v>1669</v>
      </c>
      <c r="I543" s="1" t="s">
        <v>14</v>
      </c>
      <c r="J543" s="1" t="s">
        <v>534</v>
      </c>
      <c r="L543" s="12">
        <v>0.2</v>
      </c>
      <c r="M543" s="35"/>
      <c r="N543" s="35"/>
      <c r="O543" s="35"/>
      <c r="P543" s="35"/>
      <c r="Q543" s="35"/>
      <c r="R543" s="35"/>
      <c r="S543" s="37">
        <f>(40927*0.0357)/0.2</f>
        <v>7305.4695000000002</v>
      </c>
      <c r="T543" s="35"/>
      <c r="U543" s="35"/>
      <c r="V543" s="60" t="s">
        <v>1765</v>
      </c>
    </row>
    <row r="544" spans="1:22" ht="102" x14ac:dyDescent="0.2">
      <c r="A544" s="1" t="s">
        <v>95</v>
      </c>
      <c r="B544" s="2" t="s">
        <v>24</v>
      </c>
      <c r="C544" s="2" t="s">
        <v>96</v>
      </c>
      <c r="D544" s="2" t="s">
        <v>97</v>
      </c>
      <c r="E544" s="2">
        <v>2020</v>
      </c>
      <c r="F544" s="2" t="s">
        <v>188</v>
      </c>
      <c r="G544" s="2" t="s">
        <v>1668</v>
      </c>
      <c r="H544" s="2" t="s">
        <v>1669</v>
      </c>
      <c r="I544" s="1" t="s">
        <v>14</v>
      </c>
      <c r="J544" s="1" t="s">
        <v>594</v>
      </c>
      <c r="L544" s="42">
        <v>0.2</v>
      </c>
      <c r="M544" s="35"/>
      <c r="N544" s="35"/>
      <c r="O544" s="35"/>
      <c r="P544" s="35"/>
      <c r="Q544" s="35"/>
      <c r="R544" s="14"/>
      <c r="S544" s="35">
        <f>38522*0.037/0.2</f>
        <v>7126.5699999999988</v>
      </c>
      <c r="T544" s="35"/>
      <c r="U544" s="35"/>
      <c r="V544" s="60" t="s">
        <v>1765</v>
      </c>
    </row>
    <row r="545" spans="1:22" ht="102" x14ac:dyDescent="0.2">
      <c r="A545" s="1" t="s">
        <v>95</v>
      </c>
      <c r="B545" s="2" t="s">
        <v>24</v>
      </c>
      <c r="C545" s="2" t="s">
        <v>96</v>
      </c>
      <c r="D545" s="2" t="s">
        <v>97</v>
      </c>
      <c r="E545" s="2">
        <v>2020</v>
      </c>
      <c r="F545" s="2" t="s">
        <v>203</v>
      </c>
      <c r="G545" s="2" t="s">
        <v>1668</v>
      </c>
      <c r="H545" s="2" t="s">
        <v>1669</v>
      </c>
      <c r="I545" s="1" t="s">
        <v>14</v>
      </c>
      <c r="J545" s="1" t="s">
        <v>612</v>
      </c>
      <c r="L545" s="42">
        <v>0.2</v>
      </c>
      <c r="M545" s="35"/>
      <c r="N545" s="35"/>
      <c r="O545" s="35"/>
      <c r="P545" s="35"/>
      <c r="Q545" s="35"/>
      <c r="R545" s="14"/>
      <c r="S545" s="37">
        <f>43685*0.041/0.2</f>
        <v>8955.4249999999993</v>
      </c>
      <c r="T545" s="35"/>
      <c r="U545" s="35"/>
      <c r="V545" s="60" t="s">
        <v>1765</v>
      </c>
    </row>
    <row r="546" spans="1:22" ht="102" x14ac:dyDescent="0.2">
      <c r="A546" s="1" t="s">
        <v>95</v>
      </c>
      <c r="B546" s="2" t="s">
        <v>24</v>
      </c>
      <c r="C546" s="2" t="s">
        <v>96</v>
      </c>
      <c r="D546" s="2" t="s">
        <v>97</v>
      </c>
      <c r="E546" s="2">
        <v>2020</v>
      </c>
      <c r="F546" s="2" t="s">
        <v>211</v>
      </c>
      <c r="G546" s="2" t="s">
        <v>1668</v>
      </c>
      <c r="H546" s="2" t="s">
        <v>1669</v>
      </c>
      <c r="I546" s="1" t="s">
        <v>14</v>
      </c>
      <c r="J546" s="1" t="s">
        <v>726</v>
      </c>
      <c r="L546" s="42">
        <v>0.2</v>
      </c>
      <c r="M546" s="35"/>
      <c r="N546" s="35"/>
      <c r="O546" s="35"/>
      <c r="P546" s="35"/>
      <c r="Q546" s="35"/>
      <c r="R546" s="14"/>
      <c r="S546" s="37">
        <f>34241*0.0387/0.2</f>
        <v>6625.6334999999999</v>
      </c>
      <c r="T546" s="35"/>
      <c r="U546" s="35"/>
      <c r="V546" s="60" t="s">
        <v>1765</v>
      </c>
    </row>
    <row r="547" spans="1:22" ht="102" x14ac:dyDescent="0.2">
      <c r="A547" s="1" t="s">
        <v>95</v>
      </c>
      <c r="B547" s="2" t="s">
        <v>24</v>
      </c>
      <c r="C547" s="2" t="s">
        <v>96</v>
      </c>
      <c r="D547" s="2" t="s">
        <v>97</v>
      </c>
      <c r="E547" s="2">
        <v>2020</v>
      </c>
      <c r="F547" s="2" t="s">
        <v>221</v>
      </c>
      <c r="G547" s="2" t="s">
        <v>1668</v>
      </c>
      <c r="H547" s="2" t="s">
        <v>1669</v>
      </c>
      <c r="I547" s="1" t="s">
        <v>14</v>
      </c>
      <c r="J547" s="1" t="s">
        <v>841</v>
      </c>
      <c r="L547" s="42">
        <v>0.2</v>
      </c>
      <c r="M547" s="35"/>
      <c r="N547" s="35"/>
      <c r="O547" s="35"/>
      <c r="P547" s="35"/>
      <c r="Q547" s="35"/>
      <c r="R547" s="14"/>
      <c r="S547" s="39">
        <f>43236*0.0372/0.2</f>
        <v>8041.8959999999988</v>
      </c>
      <c r="T547" s="35"/>
      <c r="U547" s="35"/>
      <c r="V547" s="60" t="s">
        <v>1765</v>
      </c>
    </row>
    <row r="548" spans="1:22" ht="102" x14ac:dyDescent="0.2">
      <c r="A548" s="1" t="s">
        <v>95</v>
      </c>
      <c r="B548" s="2" t="s">
        <v>24</v>
      </c>
      <c r="C548" s="2" t="s">
        <v>96</v>
      </c>
      <c r="D548" s="2" t="s">
        <v>97</v>
      </c>
      <c r="E548" s="2">
        <v>2020</v>
      </c>
      <c r="F548" s="2" t="s">
        <v>256</v>
      </c>
      <c r="G548" s="2" t="s">
        <v>1668</v>
      </c>
      <c r="H548" s="2" t="s">
        <v>1669</v>
      </c>
      <c r="I548" s="1" t="s">
        <v>14</v>
      </c>
      <c r="J548" s="1" t="s">
        <v>950</v>
      </c>
      <c r="L548" s="42">
        <v>0.2</v>
      </c>
      <c r="M548" s="35"/>
      <c r="N548" s="35"/>
      <c r="O548" s="35"/>
      <c r="P548" s="35"/>
      <c r="Q548" s="35"/>
      <c r="R548" s="14"/>
      <c r="S548" s="39">
        <f>40018*0.0416/0.2</f>
        <v>8323.7439999999988</v>
      </c>
      <c r="T548" s="35"/>
      <c r="U548" s="35"/>
      <c r="V548" s="60" t="s">
        <v>1765</v>
      </c>
    </row>
    <row r="549" spans="1:22" ht="102" x14ac:dyDescent="0.2">
      <c r="A549" s="1" t="s">
        <v>95</v>
      </c>
      <c r="B549" s="2" t="s">
        <v>24</v>
      </c>
      <c r="C549" s="2" t="s">
        <v>96</v>
      </c>
      <c r="D549" s="2" t="s">
        <v>97</v>
      </c>
      <c r="E549" s="2">
        <v>2020</v>
      </c>
      <c r="F549" s="2" t="s">
        <v>276</v>
      </c>
      <c r="G549" s="2" t="s">
        <v>1668</v>
      </c>
      <c r="H549" s="2" t="s">
        <v>1669</v>
      </c>
      <c r="I549" s="1" t="s">
        <v>14</v>
      </c>
      <c r="J549" s="1" t="s">
        <v>1041</v>
      </c>
      <c r="L549" s="42">
        <v>0.2</v>
      </c>
      <c r="M549" s="35"/>
      <c r="N549" s="35"/>
      <c r="O549" s="35"/>
      <c r="P549" s="35"/>
      <c r="Q549" s="35"/>
      <c r="R549" s="14"/>
      <c r="S549" s="39">
        <f>37949*0.0449/0.2</f>
        <v>8519.5504999999994</v>
      </c>
      <c r="T549" s="35"/>
      <c r="U549" s="35"/>
      <c r="V549" s="60" t="s">
        <v>1765</v>
      </c>
    </row>
    <row r="550" spans="1:22" ht="102" x14ac:dyDescent="0.2">
      <c r="A550" s="1" t="s">
        <v>95</v>
      </c>
      <c r="B550" s="2" t="s">
        <v>24</v>
      </c>
      <c r="C550" s="2" t="s">
        <v>96</v>
      </c>
      <c r="D550" s="2" t="s">
        <v>97</v>
      </c>
      <c r="E550" s="2">
        <v>2020</v>
      </c>
      <c r="F550" s="2" t="s">
        <v>291</v>
      </c>
      <c r="G550" s="2" t="s">
        <v>1668</v>
      </c>
      <c r="H550" s="2" t="s">
        <v>1669</v>
      </c>
      <c r="I550" s="1" t="s">
        <v>14</v>
      </c>
      <c r="J550" s="1" t="s">
        <v>1165</v>
      </c>
      <c r="L550" s="42">
        <v>0.2</v>
      </c>
      <c r="M550" s="35"/>
      <c r="N550" s="35"/>
      <c r="O550" s="35"/>
      <c r="P550" s="35"/>
      <c r="Q550" s="35"/>
      <c r="R550" s="14"/>
      <c r="S550" s="39">
        <f>37495*0.046/0.2</f>
        <v>8623.8499999999985</v>
      </c>
      <c r="T550" s="35"/>
      <c r="U550" s="35"/>
      <c r="V550" s="60" t="s">
        <v>1765</v>
      </c>
    </row>
    <row r="551" spans="1:22" ht="102" x14ac:dyDescent="0.2">
      <c r="A551" s="1" t="s">
        <v>95</v>
      </c>
      <c r="B551" s="2" t="s">
        <v>24</v>
      </c>
      <c r="C551" s="2" t="s">
        <v>96</v>
      </c>
      <c r="D551" s="2" t="s">
        <v>97</v>
      </c>
      <c r="E551" s="2">
        <v>2020</v>
      </c>
      <c r="F551" s="2" t="s">
        <v>311</v>
      </c>
      <c r="G551" s="2" t="s">
        <v>1668</v>
      </c>
      <c r="H551" s="2" t="s">
        <v>1669</v>
      </c>
      <c r="I551" s="1" t="s">
        <v>14</v>
      </c>
      <c r="J551" s="1" t="s">
        <v>1271</v>
      </c>
      <c r="L551" s="42">
        <v>0.2</v>
      </c>
      <c r="M551" s="35"/>
      <c r="N551" s="35"/>
      <c r="O551" s="35"/>
      <c r="P551" s="35"/>
      <c r="Q551" s="35"/>
      <c r="R551" s="14"/>
      <c r="S551" s="39">
        <f>38100*0.0431/0.2</f>
        <v>8210.5499999999993</v>
      </c>
      <c r="T551" s="35"/>
      <c r="U551" s="35"/>
      <c r="V551" s="60" t="s">
        <v>1765</v>
      </c>
    </row>
    <row r="552" spans="1:22" ht="102" x14ac:dyDescent="0.2">
      <c r="A552" s="1" t="s">
        <v>95</v>
      </c>
      <c r="B552" s="2" t="s">
        <v>24</v>
      </c>
      <c r="C552" s="2" t="s">
        <v>96</v>
      </c>
      <c r="D552" s="2" t="s">
        <v>97</v>
      </c>
      <c r="E552" s="2">
        <v>2020</v>
      </c>
      <c r="F552" s="2" t="s">
        <v>337</v>
      </c>
      <c r="G552" s="2" t="s">
        <v>1668</v>
      </c>
      <c r="H552" s="2" t="s">
        <v>1669</v>
      </c>
      <c r="I552" s="1" t="s">
        <v>14</v>
      </c>
      <c r="J552" s="1" t="s">
        <v>1400</v>
      </c>
      <c r="L552" s="42">
        <v>0.2</v>
      </c>
      <c r="M552" s="35"/>
      <c r="N552" s="35"/>
      <c r="O552" s="35"/>
      <c r="P552" s="35"/>
      <c r="Q552" s="35"/>
      <c r="R552" s="14"/>
      <c r="S552" s="39">
        <f>41995*0.0391/0.2</f>
        <v>8210.0224999999991</v>
      </c>
      <c r="T552" s="35"/>
      <c r="U552" s="35"/>
      <c r="V552" s="60" t="s">
        <v>1765</v>
      </c>
    </row>
    <row r="553" spans="1:22" ht="102" x14ac:dyDescent="0.2">
      <c r="A553" s="1" t="s">
        <v>95</v>
      </c>
      <c r="B553" s="2" t="s">
        <v>24</v>
      </c>
      <c r="C553" s="2" t="s">
        <v>96</v>
      </c>
      <c r="D553" s="2" t="s">
        <v>97</v>
      </c>
      <c r="E553" s="2">
        <v>2020</v>
      </c>
      <c r="F553" s="2" t="s">
        <v>364</v>
      </c>
      <c r="G553" s="2" t="s">
        <v>1668</v>
      </c>
      <c r="H553" s="2" t="s">
        <v>1669</v>
      </c>
      <c r="I553" s="1" t="s">
        <v>14</v>
      </c>
      <c r="J553" s="1" t="s">
        <v>1572</v>
      </c>
      <c r="L553" s="42">
        <v>0.2</v>
      </c>
      <c r="M553" s="35"/>
      <c r="N553" s="35"/>
      <c r="O553" s="35"/>
      <c r="P553" s="35"/>
      <c r="Q553" s="35"/>
      <c r="R553" s="14"/>
      <c r="S553" s="14">
        <f>44477*0.0366/0.2</f>
        <v>8139.2910000000002</v>
      </c>
      <c r="T553" s="35"/>
      <c r="U553" s="35"/>
      <c r="V553" s="60" t="s">
        <v>1765</v>
      </c>
    </row>
    <row r="554" spans="1:22" ht="102" x14ac:dyDescent="0.2">
      <c r="A554" s="1" t="s">
        <v>95</v>
      </c>
      <c r="B554" s="2" t="s">
        <v>24</v>
      </c>
      <c r="C554" s="2" t="s">
        <v>96</v>
      </c>
      <c r="D554" s="2" t="s">
        <v>97</v>
      </c>
      <c r="E554" s="2">
        <v>2020</v>
      </c>
      <c r="F554" s="2" t="s">
        <v>388</v>
      </c>
      <c r="G554" s="2" t="s">
        <v>1668</v>
      </c>
      <c r="H554" s="2" t="s">
        <v>1669</v>
      </c>
      <c r="I554" s="1" t="s">
        <v>14</v>
      </c>
      <c r="J554" s="1" t="s">
        <v>1624</v>
      </c>
      <c r="L554" s="42">
        <v>0.2</v>
      </c>
      <c r="M554" s="35"/>
      <c r="N554" s="35"/>
      <c r="O554" s="35"/>
      <c r="P554" s="35"/>
      <c r="Q554" s="35"/>
      <c r="R554" s="35"/>
      <c r="S554" s="35">
        <f>41760*0.03723/0.2</f>
        <v>7773.6239999999998</v>
      </c>
      <c r="T554" s="35"/>
      <c r="U554" s="35"/>
      <c r="V554" s="60" t="s">
        <v>1765</v>
      </c>
    </row>
    <row r="555" spans="1:22" ht="102" x14ac:dyDescent="0.2">
      <c r="A555" s="1" t="s">
        <v>103</v>
      </c>
      <c r="B555" s="2" t="s">
        <v>24</v>
      </c>
      <c r="C555" s="2" t="s">
        <v>96</v>
      </c>
      <c r="D555" s="2" t="s">
        <v>97</v>
      </c>
      <c r="E555" s="2">
        <v>2020</v>
      </c>
      <c r="F555" s="2" t="s">
        <v>13</v>
      </c>
      <c r="G555" s="2" t="s">
        <v>1668</v>
      </c>
      <c r="H555" s="2" t="s">
        <v>1669</v>
      </c>
      <c r="I555" s="1" t="s">
        <v>14</v>
      </c>
      <c r="J555" s="1" t="s">
        <v>534</v>
      </c>
      <c r="L555" s="34"/>
      <c r="M555" s="35"/>
      <c r="N555" s="35"/>
      <c r="O555" s="35"/>
      <c r="P555" s="35"/>
      <c r="Q555" s="35"/>
      <c r="R555" s="35"/>
      <c r="S555" s="35"/>
      <c r="T555" s="35"/>
      <c r="U555" s="35"/>
      <c r="V555" s="60" t="s">
        <v>1709</v>
      </c>
    </row>
    <row r="556" spans="1:22" ht="102" x14ac:dyDescent="0.2">
      <c r="A556" s="1" t="s">
        <v>103</v>
      </c>
      <c r="B556" s="2" t="s">
        <v>24</v>
      </c>
      <c r="C556" s="2" t="s">
        <v>96</v>
      </c>
      <c r="D556" s="2" t="s">
        <v>97</v>
      </c>
      <c r="E556" s="2">
        <v>2020</v>
      </c>
      <c r="F556" s="2" t="s">
        <v>188</v>
      </c>
      <c r="G556" s="2" t="s">
        <v>1668</v>
      </c>
      <c r="H556" s="2" t="s">
        <v>1669</v>
      </c>
      <c r="I556" s="1" t="s">
        <v>14</v>
      </c>
      <c r="J556" s="1" t="s">
        <v>594</v>
      </c>
      <c r="L556" s="34"/>
      <c r="M556" s="35"/>
      <c r="N556" s="35"/>
      <c r="O556" s="35"/>
      <c r="P556" s="35"/>
      <c r="Q556" s="35"/>
      <c r="R556" s="14"/>
      <c r="S556" s="35"/>
      <c r="T556" s="35"/>
      <c r="U556" s="35"/>
      <c r="V556" s="60" t="s">
        <v>1709</v>
      </c>
    </row>
    <row r="557" spans="1:22" ht="102" x14ac:dyDescent="0.2">
      <c r="A557" s="1" t="s">
        <v>103</v>
      </c>
      <c r="B557" s="2" t="s">
        <v>24</v>
      </c>
      <c r="C557" s="2" t="s">
        <v>96</v>
      </c>
      <c r="D557" s="2" t="s">
        <v>97</v>
      </c>
      <c r="E557" s="2">
        <v>2020</v>
      </c>
      <c r="F557" s="2" t="s">
        <v>203</v>
      </c>
      <c r="G557" s="2" t="s">
        <v>1668</v>
      </c>
      <c r="H557" s="2" t="s">
        <v>1669</v>
      </c>
      <c r="I557" s="1" t="s">
        <v>14</v>
      </c>
      <c r="J557" s="1" t="s">
        <v>612</v>
      </c>
      <c r="L557" s="34"/>
      <c r="M557" s="35"/>
      <c r="N557" s="35"/>
      <c r="O557" s="35"/>
      <c r="P557" s="35"/>
      <c r="Q557" s="35"/>
      <c r="R557" s="14"/>
      <c r="S557" s="35"/>
      <c r="T557" s="35"/>
      <c r="U557" s="35"/>
      <c r="V557" s="60" t="s">
        <v>1709</v>
      </c>
    </row>
    <row r="558" spans="1:22" ht="102" x14ac:dyDescent="0.2">
      <c r="A558" s="1" t="s">
        <v>103</v>
      </c>
      <c r="B558" s="2" t="s">
        <v>24</v>
      </c>
      <c r="C558" s="2" t="s">
        <v>96</v>
      </c>
      <c r="D558" s="2" t="s">
        <v>97</v>
      </c>
      <c r="E558" s="2">
        <v>2020</v>
      </c>
      <c r="F558" s="2" t="s">
        <v>211</v>
      </c>
      <c r="G558" s="2" t="s">
        <v>1668</v>
      </c>
      <c r="H558" s="2" t="s">
        <v>1669</v>
      </c>
      <c r="I558" s="1" t="s">
        <v>14</v>
      </c>
      <c r="J558" s="1" t="s">
        <v>726</v>
      </c>
      <c r="L558" s="34"/>
      <c r="M558" s="35"/>
      <c r="N558" s="35"/>
      <c r="O558" s="35"/>
      <c r="P558" s="35"/>
      <c r="Q558" s="35"/>
      <c r="R558" s="14"/>
      <c r="S558" s="35"/>
      <c r="T558" s="35"/>
      <c r="U558" s="35"/>
      <c r="V558" s="60" t="s">
        <v>1709</v>
      </c>
    </row>
    <row r="559" spans="1:22" ht="102" x14ac:dyDescent="0.2">
      <c r="A559" s="1" t="s">
        <v>103</v>
      </c>
      <c r="B559" s="2" t="s">
        <v>24</v>
      </c>
      <c r="C559" s="2" t="s">
        <v>96</v>
      </c>
      <c r="D559" s="2" t="s">
        <v>97</v>
      </c>
      <c r="E559" s="2">
        <v>2020</v>
      </c>
      <c r="F559" s="2" t="s">
        <v>221</v>
      </c>
      <c r="G559" s="2" t="s">
        <v>1668</v>
      </c>
      <c r="H559" s="2" t="s">
        <v>1669</v>
      </c>
      <c r="I559" s="1" t="s">
        <v>14</v>
      </c>
      <c r="J559" s="1" t="s">
        <v>841</v>
      </c>
      <c r="L559" s="34"/>
      <c r="M559" s="35"/>
      <c r="N559" s="35"/>
      <c r="O559" s="35"/>
      <c r="P559" s="35"/>
      <c r="Q559" s="35"/>
      <c r="R559" s="14"/>
      <c r="S559" s="14"/>
      <c r="T559" s="35"/>
      <c r="U559" s="35"/>
      <c r="V559" s="60" t="s">
        <v>1709</v>
      </c>
    </row>
    <row r="560" spans="1:22" ht="102" x14ac:dyDescent="0.2">
      <c r="A560" s="1" t="s">
        <v>103</v>
      </c>
      <c r="B560" s="2" t="s">
        <v>24</v>
      </c>
      <c r="C560" s="2" t="s">
        <v>96</v>
      </c>
      <c r="D560" s="2" t="s">
        <v>97</v>
      </c>
      <c r="E560" s="2">
        <v>2020</v>
      </c>
      <c r="F560" s="2" t="s">
        <v>256</v>
      </c>
      <c r="G560" s="2" t="s">
        <v>1668</v>
      </c>
      <c r="H560" s="2" t="s">
        <v>1669</v>
      </c>
      <c r="I560" s="1" t="s">
        <v>14</v>
      </c>
      <c r="J560" s="1" t="s">
        <v>950</v>
      </c>
      <c r="L560" s="34"/>
      <c r="M560" s="35"/>
      <c r="N560" s="35"/>
      <c r="O560" s="35"/>
      <c r="P560" s="35"/>
      <c r="Q560" s="35"/>
      <c r="R560" s="14"/>
      <c r="S560" s="14"/>
      <c r="T560" s="35"/>
      <c r="U560" s="35"/>
      <c r="V560" s="60" t="s">
        <v>1709</v>
      </c>
    </row>
    <row r="561" spans="1:22" ht="102" x14ac:dyDescent="0.2">
      <c r="A561" s="1" t="s">
        <v>103</v>
      </c>
      <c r="B561" s="2" t="s">
        <v>24</v>
      </c>
      <c r="C561" s="2" t="s">
        <v>96</v>
      </c>
      <c r="D561" s="2" t="s">
        <v>97</v>
      </c>
      <c r="E561" s="2">
        <v>2020</v>
      </c>
      <c r="F561" s="2" t="s">
        <v>276</v>
      </c>
      <c r="G561" s="2" t="s">
        <v>1668</v>
      </c>
      <c r="H561" s="2" t="s">
        <v>1669</v>
      </c>
      <c r="I561" s="1" t="s">
        <v>14</v>
      </c>
      <c r="J561" s="1" t="s">
        <v>1041</v>
      </c>
      <c r="L561" s="34"/>
      <c r="M561" s="35"/>
      <c r="N561" s="35"/>
      <c r="O561" s="35"/>
      <c r="P561" s="35"/>
      <c r="Q561" s="35"/>
      <c r="R561" s="14"/>
      <c r="S561" s="14"/>
      <c r="T561" s="35"/>
      <c r="U561" s="35"/>
      <c r="V561" s="60" t="s">
        <v>1709</v>
      </c>
    </row>
    <row r="562" spans="1:22" ht="102" x14ac:dyDescent="0.2">
      <c r="A562" s="1" t="s">
        <v>103</v>
      </c>
      <c r="B562" s="2" t="s">
        <v>24</v>
      </c>
      <c r="C562" s="2" t="s">
        <v>96</v>
      </c>
      <c r="D562" s="2" t="s">
        <v>97</v>
      </c>
      <c r="E562" s="2">
        <v>2020</v>
      </c>
      <c r="F562" s="2" t="s">
        <v>291</v>
      </c>
      <c r="G562" s="2" t="s">
        <v>1668</v>
      </c>
      <c r="H562" s="2" t="s">
        <v>1669</v>
      </c>
      <c r="I562" s="1" t="s">
        <v>14</v>
      </c>
      <c r="J562" s="1" t="s">
        <v>1165</v>
      </c>
      <c r="L562" s="34"/>
      <c r="M562" s="35"/>
      <c r="N562" s="35"/>
      <c r="O562" s="35"/>
      <c r="P562" s="35"/>
      <c r="Q562" s="35"/>
      <c r="R562" s="14"/>
      <c r="S562" s="14"/>
      <c r="T562" s="35"/>
      <c r="U562" s="35"/>
      <c r="V562" s="60" t="s">
        <v>1709</v>
      </c>
    </row>
    <row r="563" spans="1:22" ht="102" x14ac:dyDescent="0.2">
      <c r="A563" s="1" t="s">
        <v>103</v>
      </c>
      <c r="B563" s="2" t="s">
        <v>24</v>
      </c>
      <c r="C563" s="2" t="s">
        <v>96</v>
      </c>
      <c r="D563" s="2" t="s">
        <v>97</v>
      </c>
      <c r="E563" s="2">
        <v>2020</v>
      </c>
      <c r="F563" s="2" t="s">
        <v>311</v>
      </c>
      <c r="G563" s="2" t="s">
        <v>1668</v>
      </c>
      <c r="H563" s="2" t="s">
        <v>1669</v>
      </c>
      <c r="I563" s="1" t="s">
        <v>14</v>
      </c>
      <c r="J563" s="1" t="s">
        <v>1271</v>
      </c>
      <c r="L563" s="34"/>
      <c r="M563" s="35"/>
      <c r="N563" s="35"/>
      <c r="O563" s="35"/>
      <c r="P563" s="35"/>
      <c r="Q563" s="35"/>
      <c r="R563" s="14"/>
      <c r="S563" s="14"/>
      <c r="T563" s="35"/>
      <c r="U563" s="35"/>
      <c r="V563" s="60" t="s">
        <v>1709</v>
      </c>
    </row>
    <row r="564" spans="1:22" ht="102" x14ac:dyDescent="0.2">
      <c r="A564" s="1" t="s">
        <v>103</v>
      </c>
      <c r="B564" s="2" t="s">
        <v>24</v>
      </c>
      <c r="C564" s="2" t="s">
        <v>96</v>
      </c>
      <c r="D564" s="2" t="s">
        <v>97</v>
      </c>
      <c r="E564" s="2">
        <v>2020</v>
      </c>
      <c r="F564" s="2" t="s">
        <v>337</v>
      </c>
      <c r="G564" s="2" t="s">
        <v>1668</v>
      </c>
      <c r="H564" s="2" t="s">
        <v>1669</v>
      </c>
      <c r="I564" s="1" t="s">
        <v>14</v>
      </c>
      <c r="J564" s="1" t="s">
        <v>1400</v>
      </c>
      <c r="L564" s="34"/>
      <c r="M564" s="35"/>
      <c r="N564" s="35"/>
      <c r="O564" s="35"/>
      <c r="P564" s="35"/>
      <c r="Q564" s="35"/>
      <c r="R564" s="14"/>
      <c r="S564" s="14"/>
      <c r="T564" s="35"/>
      <c r="U564" s="35"/>
      <c r="V564" s="60" t="s">
        <v>1709</v>
      </c>
    </row>
    <row r="565" spans="1:22" ht="102" x14ac:dyDescent="0.2">
      <c r="A565" s="1" t="s">
        <v>103</v>
      </c>
      <c r="B565" s="2" t="s">
        <v>24</v>
      </c>
      <c r="C565" s="2" t="s">
        <v>96</v>
      </c>
      <c r="D565" s="2" t="s">
        <v>97</v>
      </c>
      <c r="E565" s="2">
        <v>2020</v>
      </c>
      <c r="F565" s="2" t="s">
        <v>364</v>
      </c>
      <c r="G565" s="2" t="s">
        <v>1668</v>
      </c>
      <c r="H565" s="2" t="s">
        <v>1669</v>
      </c>
      <c r="I565" s="1" t="s">
        <v>14</v>
      </c>
      <c r="J565" s="1" t="s">
        <v>1572</v>
      </c>
      <c r="L565" s="34"/>
      <c r="M565" s="35"/>
      <c r="N565" s="35"/>
      <c r="O565" s="35"/>
      <c r="P565" s="35"/>
      <c r="Q565" s="35"/>
      <c r="R565" s="14"/>
      <c r="S565" s="14"/>
      <c r="T565" s="35"/>
      <c r="U565" s="35"/>
      <c r="V565" s="60" t="s">
        <v>1709</v>
      </c>
    </row>
    <row r="566" spans="1:22" ht="102" x14ac:dyDescent="0.2">
      <c r="A566" s="1" t="s">
        <v>103</v>
      </c>
      <c r="B566" s="2" t="s">
        <v>24</v>
      </c>
      <c r="C566" s="2" t="s">
        <v>96</v>
      </c>
      <c r="D566" s="2" t="s">
        <v>97</v>
      </c>
      <c r="E566" s="2">
        <v>2020</v>
      </c>
      <c r="F566" s="2" t="s">
        <v>388</v>
      </c>
      <c r="G566" s="2" t="s">
        <v>1668</v>
      </c>
      <c r="H566" s="2" t="s">
        <v>1669</v>
      </c>
      <c r="I566" s="1" t="s">
        <v>14</v>
      </c>
      <c r="J566" s="1" t="s">
        <v>1624</v>
      </c>
      <c r="L566" s="34"/>
      <c r="M566" s="35"/>
      <c r="N566" s="35"/>
      <c r="O566" s="35"/>
      <c r="P566" s="35"/>
      <c r="Q566" s="35"/>
      <c r="R566" s="35"/>
      <c r="S566" s="35"/>
      <c r="T566" s="35"/>
      <c r="U566" s="35"/>
      <c r="V566" s="60" t="s">
        <v>1709</v>
      </c>
    </row>
    <row r="567" spans="1:22" ht="114.75" x14ac:dyDescent="0.2">
      <c r="A567" s="1" t="s">
        <v>996</v>
      </c>
      <c r="B567" s="2" t="s">
        <v>196</v>
      </c>
      <c r="C567" s="2" t="s">
        <v>997</v>
      </c>
      <c r="D567" s="2" t="s">
        <v>187</v>
      </c>
      <c r="E567" s="2">
        <v>2020</v>
      </c>
      <c r="F567" s="2" t="s">
        <v>276</v>
      </c>
      <c r="G567" s="2" t="s">
        <v>1669</v>
      </c>
      <c r="H567" s="2" t="s">
        <v>1669</v>
      </c>
      <c r="I567" s="1" t="s">
        <v>998</v>
      </c>
      <c r="J567" s="1" t="s">
        <v>999</v>
      </c>
      <c r="L567" s="12">
        <v>3.8699999999999998E-2</v>
      </c>
      <c r="M567" s="35"/>
      <c r="N567" s="35">
        <f>265.87+815.17</f>
        <v>1081.04</v>
      </c>
      <c r="O567" s="35"/>
      <c r="P567" s="35"/>
      <c r="Q567" s="35"/>
      <c r="R567" s="6"/>
      <c r="S567" s="6"/>
      <c r="T567" s="35"/>
      <c r="U567" s="35"/>
      <c r="V567" s="60" t="s">
        <v>1699</v>
      </c>
    </row>
    <row r="568" spans="1:22" ht="114.75" x14ac:dyDescent="0.2">
      <c r="A568" s="1" t="s">
        <v>996</v>
      </c>
      <c r="B568" s="2" t="s">
        <v>196</v>
      </c>
      <c r="C568" s="2" t="s">
        <v>997</v>
      </c>
      <c r="D568" s="2" t="s">
        <v>187</v>
      </c>
      <c r="E568" s="2">
        <v>2020</v>
      </c>
      <c r="F568" s="2" t="s">
        <v>291</v>
      </c>
      <c r="G568" s="2" t="s">
        <v>1669</v>
      </c>
      <c r="H568" s="2" t="s">
        <v>1669</v>
      </c>
      <c r="I568" s="1" t="s">
        <v>1135</v>
      </c>
      <c r="J568" s="1" t="s">
        <v>999</v>
      </c>
      <c r="L568" s="42">
        <v>3.7999999999999999E-2</v>
      </c>
      <c r="M568" s="35"/>
      <c r="N568" s="35">
        <f>427.66+836.81+565.88</f>
        <v>1830.35</v>
      </c>
      <c r="O568" s="35"/>
      <c r="P568" s="35"/>
      <c r="Q568" s="35"/>
      <c r="R568" s="14"/>
      <c r="S568" s="14"/>
      <c r="T568" s="35"/>
      <c r="U568" s="35"/>
      <c r="V568" s="60" t="s">
        <v>1699</v>
      </c>
    </row>
    <row r="569" spans="1:22" ht="25.5" x14ac:dyDescent="0.2">
      <c r="A569" s="1" t="s">
        <v>59</v>
      </c>
      <c r="B569" s="2" t="s">
        <v>16</v>
      </c>
      <c r="C569" s="2" t="s">
        <v>60</v>
      </c>
      <c r="D569" s="2" t="s">
        <v>61</v>
      </c>
      <c r="E569" s="2">
        <v>2020</v>
      </c>
      <c r="F569" s="2" t="s">
        <v>13</v>
      </c>
      <c r="G569" s="2" t="s">
        <v>1667</v>
      </c>
      <c r="H569" s="2" t="s">
        <v>1669</v>
      </c>
      <c r="I569" s="1" t="s">
        <v>14</v>
      </c>
      <c r="J569" s="1" t="s">
        <v>516</v>
      </c>
      <c r="L569" s="12">
        <v>0.3231</v>
      </c>
      <c r="M569" s="35"/>
      <c r="N569" s="43">
        <v>249.9</v>
      </c>
      <c r="O569" s="35"/>
      <c r="P569" s="35"/>
      <c r="Q569" s="35"/>
      <c r="R569" s="35"/>
      <c r="S569" s="35"/>
      <c r="T569" s="35"/>
      <c r="U569" s="35"/>
      <c r="V569" s="60" t="s">
        <v>1710</v>
      </c>
    </row>
    <row r="570" spans="1:22" ht="25.5" x14ac:dyDescent="0.2">
      <c r="A570" s="1" t="s">
        <v>59</v>
      </c>
      <c r="B570" s="2" t="s">
        <v>16</v>
      </c>
      <c r="C570" s="2" t="s">
        <v>60</v>
      </c>
      <c r="D570" s="2" t="s">
        <v>61</v>
      </c>
      <c r="E570" s="2">
        <v>2020</v>
      </c>
      <c r="F570" s="2" t="s">
        <v>188</v>
      </c>
      <c r="G570" s="2" t="s">
        <v>1667</v>
      </c>
      <c r="H570" s="2" t="s">
        <v>1669</v>
      </c>
      <c r="I570" s="1" t="s">
        <v>14</v>
      </c>
      <c r="J570" s="1" t="s">
        <v>574</v>
      </c>
      <c r="L570" s="12">
        <v>0.31690000000000002</v>
      </c>
      <c r="M570" s="35"/>
      <c r="N570" s="43">
        <v>279.3</v>
      </c>
      <c r="O570" s="35"/>
      <c r="P570" s="35"/>
      <c r="Q570" s="35"/>
      <c r="R570" s="6"/>
      <c r="S570" s="35"/>
      <c r="T570" s="35"/>
      <c r="U570" s="35"/>
      <c r="V570" s="60" t="s">
        <v>1710</v>
      </c>
    </row>
    <row r="571" spans="1:22" ht="25.5" x14ac:dyDescent="0.2">
      <c r="A571" s="1" t="s">
        <v>59</v>
      </c>
      <c r="B571" s="2" t="s">
        <v>16</v>
      </c>
      <c r="C571" s="2" t="s">
        <v>60</v>
      </c>
      <c r="D571" s="2" t="s">
        <v>61</v>
      </c>
      <c r="E571" s="2">
        <v>2020</v>
      </c>
      <c r="F571" s="2" t="s">
        <v>203</v>
      </c>
      <c r="G571" s="2" t="s">
        <v>1667</v>
      </c>
      <c r="H571" s="2" t="s">
        <v>1669</v>
      </c>
      <c r="I571" s="1" t="s">
        <v>14</v>
      </c>
      <c r="J571" s="1" t="s">
        <v>631</v>
      </c>
      <c r="L571" s="42">
        <v>0.35</v>
      </c>
      <c r="M571" s="35"/>
      <c r="N571" s="43">
        <v>363.7</v>
      </c>
      <c r="O571" s="35"/>
      <c r="P571" s="35"/>
      <c r="Q571" s="35"/>
      <c r="R571" s="14"/>
      <c r="S571" s="35"/>
      <c r="T571" s="35"/>
      <c r="U571" s="35"/>
      <c r="V571" s="60" t="s">
        <v>1710</v>
      </c>
    </row>
    <row r="572" spans="1:22" ht="25.5" x14ac:dyDescent="0.2">
      <c r="A572" s="1" t="s">
        <v>59</v>
      </c>
      <c r="B572" s="2" t="s">
        <v>16</v>
      </c>
      <c r="C572" s="2" t="s">
        <v>60</v>
      </c>
      <c r="D572" s="2" t="s">
        <v>61</v>
      </c>
      <c r="E572" s="2">
        <v>2020</v>
      </c>
      <c r="F572" s="2" t="s">
        <v>211</v>
      </c>
      <c r="G572" s="2" t="s">
        <v>1667</v>
      </c>
      <c r="H572" s="2" t="s">
        <v>1669</v>
      </c>
      <c r="I572" s="1" t="s">
        <v>14</v>
      </c>
      <c r="J572" s="1" t="s">
        <v>721</v>
      </c>
      <c r="L572" s="42">
        <v>0.32700000000000001</v>
      </c>
      <c r="M572" s="35"/>
      <c r="N572" s="46">
        <v>384.5</v>
      </c>
      <c r="O572" s="35"/>
      <c r="P572" s="35"/>
      <c r="Q572" s="35"/>
      <c r="R572" s="14"/>
      <c r="S572" s="35"/>
      <c r="T572" s="35"/>
      <c r="U572" s="35"/>
      <c r="V572" s="60" t="s">
        <v>1710</v>
      </c>
    </row>
    <row r="573" spans="1:22" ht="25.5" x14ac:dyDescent="0.2">
      <c r="A573" s="1" t="s">
        <v>59</v>
      </c>
      <c r="B573" s="2" t="s">
        <v>16</v>
      </c>
      <c r="C573" s="2" t="s">
        <v>60</v>
      </c>
      <c r="D573" s="2" t="s">
        <v>61</v>
      </c>
      <c r="E573" s="2">
        <v>2020</v>
      </c>
      <c r="F573" s="2" t="s">
        <v>221</v>
      </c>
      <c r="G573" s="2" t="s">
        <v>1667</v>
      </c>
      <c r="H573" s="2" t="s">
        <v>1669</v>
      </c>
      <c r="I573" s="1" t="s">
        <v>14</v>
      </c>
      <c r="J573" s="1" t="s">
        <v>775</v>
      </c>
      <c r="L573" s="42">
        <v>0.27400000000000002</v>
      </c>
      <c r="M573" s="35"/>
      <c r="N573" s="43">
        <v>357.4</v>
      </c>
      <c r="O573" s="35"/>
      <c r="P573" s="35"/>
      <c r="Q573" s="35"/>
      <c r="R573" s="14"/>
      <c r="S573" s="35"/>
      <c r="T573" s="35"/>
      <c r="U573" s="35"/>
      <c r="V573" s="60" t="s">
        <v>1710</v>
      </c>
    </row>
    <row r="574" spans="1:22" ht="25.5" x14ac:dyDescent="0.2">
      <c r="A574" s="1" t="s">
        <v>59</v>
      </c>
      <c r="B574" s="2" t="s">
        <v>16</v>
      </c>
      <c r="C574" s="2" t="s">
        <v>60</v>
      </c>
      <c r="D574" s="2" t="s">
        <v>61</v>
      </c>
      <c r="E574" s="2">
        <v>2020</v>
      </c>
      <c r="F574" s="2" t="s">
        <v>256</v>
      </c>
      <c r="G574" s="2" t="s">
        <v>1667</v>
      </c>
      <c r="H574" s="2" t="s">
        <v>1669</v>
      </c>
      <c r="I574" s="1" t="s">
        <v>14</v>
      </c>
      <c r="J574" s="1" t="s">
        <v>916</v>
      </c>
      <c r="L574" s="42">
        <v>0.27600000000000002</v>
      </c>
      <c r="M574" s="35"/>
      <c r="N574" s="43">
        <v>532.6</v>
      </c>
      <c r="O574" s="35"/>
      <c r="P574" s="35"/>
      <c r="Q574" s="35"/>
      <c r="R574" s="14"/>
      <c r="S574" s="14"/>
      <c r="T574" s="35"/>
      <c r="U574" s="35"/>
      <c r="V574" s="60" t="s">
        <v>1710</v>
      </c>
    </row>
    <row r="575" spans="1:22" ht="25.5" x14ac:dyDescent="0.2">
      <c r="A575" s="1" t="s">
        <v>59</v>
      </c>
      <c r="B575" s="2" t="s">
        <v>16</v>
      </c>
      <c r="C575" s="2" t="s">
        <v>60</v>
      </c>
      <c r="D575" s="2" t="s">
        <v>61</v>
      </c>
      <c r="E575" s="2">
        <v>2020</v>
      </c>
      <c r="F575" s="2" t="s">
        <v>276</v>
      </c>
      <c r="G575" s="2" t="s">
        <v>1667</v>
      </c>
      <c r="H575" s="2" t="s">
        <v>1669</v>
      </c>
      <c r="I575" s="1" t="s">
        <v>14</v>
      </c>
      <c r="J575" s="1" t="s">
        <v>1037</v>
      </c>
      <c r="L575" s="42">
        <v>0.35360000000000003</v>
      </c>
      <c r="M575" s="35"/>
      <c r="N575" s="43">
        <v>514.5</v>
      </c>
      <c r="O575" s="35"/>
      <c r="P575" s="35"/>
      <c r="Q575" s="35"/>
      <c r="R575" s="14"/>
      <c r="S575" s="14"/>
      <c r="T575" s="35"/>
      <c r="U575" s="35"/>
      <c r="V575" s="60" t="s">
        <v>1710</v>
      </c>
    </row>
    <row r="576" spans="1:22" ht="25.5" x14ac:dyDescent="0.2">
      <c r="A576" s="1" t="s">
        <v>59</v>
      </c>
      <c r="B576" s="2" t="s">
        <v>16</v>
      </c>
      <c r="C576" s="2" t="s">
        <v>60</v>
      </c>
      <c r="D576" s="2" t="s">
        <v>61</v>
      </c>
      <c r="E576" s="2">
        <v>2020</v>
      </c>
      <c r="F576" s="2" t="s">
        <v>291</v>
      </c>
      <c r="G576" s="2" t="s">
        <v>1667</v>
      </c>
      <c r="H576" s="2" t="s">
        <v>1669</v>
      </c>
      <c r="I576" s="1" t="s">
        <v>14</v>
      </c>
      <c r="J576" s="1" t="s">
        <v>1122</v>
      </c>
      <c r="L576" s="42">
        <v>0.376</v>
      </c>
      <c r="M576" s="35"/>
      <c r="N576" s="43">
        <v>364</v>
      </c>
      <c r="O576" s="35"/>
      <c r="P576" s="35"/>
      <c r="Q576" s="35"/>
      <c r="R576" s="14"/>
      <c r="S576" s="14"/>
      <c r="T576" s="35"/>
      <c r="U576" s="35"/>
      <c r="V576" s="60" t="s">
        <v>1710</v>
      </c>
    </row>
    <row r="577" spans="1:22" ht="25.5" x14ac:dyDescent="0.2">
      <c r="A577" s="1" t="s">
        <v>59</v>
      </c>
      <c r="B577" s="2" t="s">
        <v>16</v>
      </c>
      <c r="C577" s="2" t="s">
        <v>60</v>
      </c>
      <c r="D577" s="2" t="s">
        <v>61</v>
      </c>
      <c r="E577" s="2">
        <v>2020</v>
      </c>
      <c r="F577" s="2" t="s">
        <v>311</v>
      </c>
      <c r="G577" s="2" t="s">
        <v>1667</v>
      </c>
      <c r="H577" s="2" t="s">
        <v>1669</v>
      </c>
      <c r="I577" s="1" t="s">
        <v>14</v>
      </c>
      <c r="J577" s="1" t="s">
        <v>1243</v>
      </c>
      <c r="L577" s="42">
        <v>0.36699999999999999</v>
      </c>
      <c r="M577" s="35"/>
      <c r="N577" s="43">
        <v>332.9</v>
      </c>
      <c r="O577" s="35"/>
      <c r="P577" s="35"/>
      <c r="Q577" s="35"/>
      <c r="R577" s="14"/>
      <c r="S577" s="14"/>
      <c r="T577" s="35"/>
      <c r="U577" s="35"/>
      <c r="V577" s="60" t="s">
        <v>1710</v>
      </c>
    </row>
    <row r="578" spans="1:22" ht="25.5" x14ac:dyDescent="0.2">
      <c r="A578" s="1" t="s">
        <v>59</v>
      </c>
      <c r="B578" s="2" t="s">
        <v>16</v>
      </c>
      <c r="C578" s="2" t="s">
        <v>60</v>
      </c>
      <c r="D578" s="2" t="s">
        <v>61</v>
      </c>
      <c r="E578" s="2">
        <v>2020</v>
      </c>
      <c r="F578" s="2" t="s">
        <v>337</v>
      </c>
      <c r="G578" s="2" t="s">
        <v>1667</v>
      </c>
      <c r="H578" s="2" t="s">
        <v>1669</v>
      </c>
      <c r="I578" s="1" t="s">
        <v>14</v>
      </c>
      <c r="J578" s="1" t="s">
        <v>1360</v>
      </c>
      <c r="L578" s="42">
        <v>0.36009999999999998</v>
      </c>
      <c r="M578" s="35"/>
      <c r="N578" s="43">
        <v>353.3</v>
      </c>
      <c r="O578" s="35"/>
      <c r="P578" s="35"/>
      <c r="Q578" s="35"/>
      <c r="R578" s="14"/>
      <c r="S578" s="14"/>
      <c r="T578" s="35"/>
      <c r="U578" s="35"/>
      <c r="V578" s="60" t="s">
        <v>1710</v>
      </c>
    </row>
    <row r="579" spans="1:22" ht="25.5" x14ac:dyDescent="0.2">
      <c r="A579" s="1" t="s">
        <v>59</v>
      </c>
      <c r="B579" s="2" t="s">
        <v>16</v>
      </c>
      <c r="C579" s="2" t="s">
        <v>60</v>
      </c>
      <c r="D579" s="2" t="s">
        <v>61</v>
      </c>
      <c r="E579" s="2">
        <v>2020</v>
      </c>
      <c r="F579" s="2" t="s">
        <v>364</v>
      </c>
      <c r="G579" s="2" t="s">
        <v>1667</v>
      </c>
      <c r="H579" s="2" t="s">
        <v>1669</v>
      </c>
      <c r="I579" s="1" t="s">
        <v>14</v>
      </c>
      <c r="J579" s="1" t="s">
        <v>1574</v>
      </c>
      <c r="L579" s="42">
        <v>0.36020000000000002</v>
      </c>
      <c r="M579" s="35"/>
      <c r="N579" s="43">
        <v>303.60000000000002</v>
      </c>
      <c r="O579" s="35"/>
      <c r="P579" s="35"/>
      <c r="Q579" s="35"/>
      <c r="R579" s="14"/>
      <c r="S579" s="14"/>
      <c r="T579" s="35"/>
      <c r="U579" s="35"/>
      <c r="V579" s="60" t="s">
        <v>1710</v>
      </c>
    </row>
    <row r="580" spans="1:22" ht="25.5" x14ac:dyDescent="0.2">
      <c r="A580" s="1" t="s">
        <v>59</v>
      </c>
      <c r="B580" s="2" t="s">
        <v>16</v>
      </c>
      <c r="C580" s="2" t="s">
        <v>60</v>
      </c>
      <c r="D580" s="2" t="s">
        <v>61</v>
      </c>
      <c r="E580" s="2">
        <v>2020</v>
      </c>
      <c r="F580" s="2" t="s">
        <v>388</v>
      </c>
      <c r="G580" s="2" t="s">
        <v>1667</v>
      </c>
      <c r="H580" s="2" t="s">
        <v>1669</v>
      </c>
      <c r="I580" s="1" t="s">
        <v>14</v>
      </c>
      <c r="J580" s="1" t="s">
        <v>1600</v>
      </c>
      <c r="L580" s="42">
        <v>0.30470000000000003</v>
      </c>
      <c r="M580" s="35"/>
      <c r="N580" s="43">
        <v>434.2</v>
      </c>
      <c r="O580" s="35"/>
      <c r="P580" s="35"/>
      <c r="Q580" s="35"/>
      <c r="R580" s="14"/>
      <c r="S580" s="14"/>
      <c r="T580" s="35"/>
      <c r="U580" s="35"/>
      <c r="V580" s="60" t="s">
        <v>1710</v>
      </c>
    </row>
    <row r="581" spans="1:22" ht="102" x14ac:dyDescent="0.2">
      <c r="A581" s="1" t="s">
        <v>281</v>
      </c>
      <c r="B581" s="2" t="s">
        <v>196</v>
      </c>
      <c r="C581" s="2" t="s">
        <v>282</v>
      </c>
      <c r="D581" s="2" t="s">
        <v>283</v>
      </c>
      <c r="E581" s="2">
        <v>2020</v>
      </c>
      <c r="F581" s="2" t="s">
        <v>211</v>
      </c>
      <c r="G581" s="2" t="s">
        <v>1669</v>
      </c>
      <c r="H581" s="2" t="s">
        <v>1668</v>
      </c>
      <c r="I581" s="1" t="s">
        <v>733</v>
      </c>
      <c r="J581" s="1" t="s">
        <v>14</v>
      </c>
      <c r="L581" s="34"/>
      <c r="M581" s="35"/>
      <c r="N581" s="35"/>
      <c r="O581" s="35"/>
      <c r="P581" s="35"/>
      <c r="Q581" s="35"/>
      <c r="R581" s="14"/>
      <c r="S581" s="35"/>
      <c r="T581" s="35"/>
      <c r="U581" s="35"/>
      <c r="V581" s="60" t="s">
        <v>1695</v>
      </c>
    </row>
    <row r="582" spans="1:22" ht="114.75" x14ac:dyDescent="0.2">
      <c r="A582" s="1" t="s">
        <v>281</v>
      </c>
      <c r="B582" s="2" t="s">
        <v>196</v>
      </c>
      <c r="C582" s="2" t="s">
        <v>282</v>
      </c>
      <c r="D582" s="2" t="s">
        <v>283</v>
      </c>
      <c r="E582" s="2">
        <v>2020</v>
      </c>
      <c r="F582" s="2" t="s">
        <v>221</v>
      </c>
      <c r="G582" s="2" t="s">
        <v>1669</v>
      </c>
      <c r="H582" s="2" t="s">
        <v>1668</v>
      </c>
      <c r="I582" s="1" t="s">
        <v>850</v>
      </c>
      <c r="J582" s="1" t="s">
        <v>14</v>
      </c>
      <c r="L582" s="34"/>
      <c r="M582" s="35"/>
      <c r="N582" s="35"/>
      <c r="O582" s="35"/>
      <c r="P582" s="35"/>
      <c r="Q582" s="35"/>
      <c r="R582" s="14"/>
      <c r="S582" s="14"/>
      <c r="T582" s="35"/>
      <c r="U582" s="35"/>
      <c r="V582" s="60" t="s">
        <v>1695</v>
      </c>
    </row>
    <row r="583" spans="1:22" ht="63.75" x14ac:dyDescent="0.2">
      <c r="A583" s="1" t="s">
        <v>281</v>
      </c>
      <c r="B583" s="2" t="s">
        <v>196</v>
      </c>
      <c r="C583" s="2" t="s">
        <v>282</v>
      </c>
      <c r="D583" s="2" t="s">
        <v>283</v>
      </c>
      <c r="E583" s="2">
        <v>2020</v>
      </c>
      <c r="F583" s="2" t="s">
        <v>311</v>
      </c>
      <c r="G583" s="2" t="s">
        <v>1668</v>
      </c>
      <c r="H583" s="2" t="s">
        <v>1669</v>
      </c>
      <c r="I583" s="1" t="s">
        <v>14</v>
      </c>
      <c r="J583" s="1" t="s">
        <v>1315</v>
      </c>
      <c r="L583" s="34">
        <v>0.25700000000000001</v>
      </c>
      <c r="M583" s="35"/>
      <c r="N583" s="35">
        <v>2670</v>
      </c>
      <c r="O583" s="35"/>
      <c r="P583" s="35"/>
      <c r="Q583" s="35"/>
      <c r="R583" s="14"/>
      <c r="S583" s="14"/>
      <c r="T583" s="35"/>
      <c r="U583" s="35"/>
    </row>
    <row r="584" spans="1:22" ht="76.5" x14ac:dyDescent="0.2">
      <c r="A584" s="1" t="s">
        <v>304</v>
      </c>
      <c r="B584" s="2" t="s">
        <v>196</v>
      </c>
      <c r="C584" s="2" t="s">
        <v>282</v>
      </c>
      <c r="D584" s="2" t="s">
        <v>283</v>
      </c>
      <c r="E584" s="2">
        <v>2020</v>
      </c>
      <c r="F584" s="2" t="s">
        <v>276</v>
      </c>
      <c r="G584" s="2" t="s">
        <v>1669</v>
      </c>
      <c r="H584" s="2" t="s">
        <v>1668</v>
      </c>
      <c r="I584" s="1" t="s">
        <v>986</v>
      </c>
      <c r="J584" s="1" t="s">
        <v>14</v>
      </c>
      <c r="L584" s="34"/>
      <c r="M584" s="35"/>
      <c r="N584" s="35"/>
      <c r="O584" s="35"/>
      <c r="P584" s="35"/>
      <c r="Q584" s="35"/>
      <c r="R584" s="14"/>
      <c r="S584" s="14"/>
      <c r="T584" s="35"/>
      <c r="U584" s="35"/>
      <c r="V584" s="60" t="s">
        <v>1693</v>
      </c>
    </row>
    <row r="585" spans="1:22" ht="89.25" x14ac:dyDescent="0.2">
      <c r="A585" s="1" t="s">
        <v>456</v>
      </c>
      <c r="B585" s="2" t="s">
        <v>222</v>
      </c>
      <c r="C585" s="2" t="s">
        <v>282</v>
      </c>
      <c r="D585" s="2" t="s">
        <v>283</v>
      </c>
      <c r="E585" s="2">
        <v>2020</v>
      </c>
      <c r="F585" s="2" t="s">
        <v>276</v>
      </c>
      <c r="G585" s="2" t="s">
        <v>1669</v>
      </c>
      <c r="H585" s="2" t="s">
        <v>1668</v>
      </c>
      <c r="I585" s="1" t="s">
        <v>964</v>
      </c>
      <c r="J585" s="1" t="s">
        <v>14</v>
      </c>
      <c r="L585" s="34"/>
      <c r="M585" s="35"/>
      <c r="N585" s="35"/>
      <c r="O585" s="35"/>
      <c r="P585" s="35"/>
      <c r="Q585" s="35"/>
      <c r="R585" s="14"/>
      <c r="S585" s="14"/>
      <c r="T585" s="35"/>
      <c r="U585" s="35"/>
      <c r="V585" s="60" t="s">
        <v>1693</v>
      </c>
    </row>
    <row r="586" spans="1:22" ht="51" x14ac:dyDescent="0.2">
      <c r="A586" s="1" t="s">
        <v>303</v>
      </c>
      <c r="B586" s="2" t="s">
        <v>196</v>
      </c>
      <c r="C586" s="2" t="s">
        <v>282</v>
      </c>
      <c r="D586" s="2" t="s">
        <v>283</v>
      </c>
      <c r="E586" s="2">
        <v>2020</v>
      </c>
      <c r="F586" s="2" t="s">
        <v>311</v>
      </c>
      <c r="G586" s="2" t="s">
        <v>1668</v>
      </c>
      <c r="H586" s="2" t="s">
        <v>1669</v>
      </c>
      <c r="I586" s="1" t="s">
        <v>14</v>
      </c>
      <c r="J586" s="1" t="s">
        <v>1261</v>
      </c>
      <c r="L586" s="5">
        <v>0.40899999999999997</v>
      </c>
      <c r="M586" s="35"/>
      <c r="N586" s="36">
        <v>75</v>
      </c>
      <c r="O586" s="35"/>
      <c r="P586" s="35"/>
      <c r="Q586" s="35"/>
      <c r="R586" s="6"/>
      <c r="S586" s="6"/>
      <c r="T586" s="35"/>
      <c r="U586" s="35"/>
      <c r="V586" s="60"/>
    </row>
    <row r="587" spans="1:22" ht="63.75" x14ac:dyDescent="0.2">
      <c r="A587" s="1" t="s">
        <v>237</v>
      </c>
      <c r="B587" s="2" t="s">
        <v>232</v>
      </c>
      <c r="C587" s="2" t="s">
        <v>238</v>
      </c>
      <c r="D587" s="2" t="s">
        <v>58</v>
      </c>
      <c r="E587" s="2">
        <v>2020</v>
      </c>
      <c r="F587" s="2" t="s">
        <v>13</v>
      </c>
      <c r="G587" s="2" t="s">
        <v>1669</v>
      </c>
      <c r="H587" s="2" t="s">
        <v>1669</v>
      </c>
      <c r="I587" s="1" t="s">
        <v>499</v>
      </c>
      <c r="J587" s="1" t="s">
        <v>500</v>
      </c>
      <c r="L587" s="34" t="s">
        <v>1670</v>
      </c>
      <c r="M587" s="35"/>
      <c r="N587" s="35"/>
      <c r="O587" s="35"/>
      <c r="P587" s="35"/>
      <c r="Q587" s="35"/>
      <c r="R587" s="35"/>
      <c r="S587" s="35"/>
      <c r="T587" s="35"/>
      <c r="U587" s="35">
        <v>3</v>
      </c>
      <c r="V587" s="60" t="s">
        <v>1711</v>
      </c>
    </row>
    <row r="588" spans="1:22" ht="63.75" x14ac:dyDescent="0.2">
      <c r="A588" s="1" t="s">
        <v>237</v>
      </c>
      <c r="B588" s="2" t="s">
        <v>232</v>
      </c>
      <c r="C588" s="2" t="s">
        <v>238</v>
      </c>
      <c r="D588" s="2" t="s">
        <v>58</v>
      </c>
      <c r="E588" s="2">
        <v>2020</v>
      </c>
      <c r="F588" s="2" t="s">
        <v>203</v>
      </c>
      <c r="G588" s="2" t="s">
        <v>1669</v>
      </c>
      <c r="H588" s="2" t="s">
        <v>1669</v>
      </c>
      <c r="I588" s="1" t="s">
        <v>634</v>
      </c>
      <c r="J588" s="1" t="s">
        <v>635</v>
      </c>
      <c r="L588" s="34"/>
      <c r="M588" s="35"/>
      <c r="N588" s="35"/>
      <c r="O588" s="35"/>
      <c r="P588" s="35"/>
      <c r="Q588" s="35"/>
      <c r="R588" s="14"/>
      <c r="S588" s="35"/>
      <c r="T588" s="35"/>
      <c r="U588" s="35"/>
      <c r="V588" s="60" t="s">
        <v>1697</v>
      </c>
    </row>
    <row r="589" spans="1:22" ht="242.25" x14ac:dyDescent="0.2">
      <c r="A589" s="1" t="s">
        <v>1528</v>
      </c>
      <c r="B589" s="2" t="s">
        <v>196</v>
      </c>
      <c r="C589" s="2" t="s">
        <v>1529</v>
      </c>
      <c r="D589" s="2" t="s">
        <v>328</v>
      </c>
      <c r="E589" s="2">
        <v>2020</v>
      </c>
      <c r="F589" s="2" t="s">
        <v>364</v>
      </c>
      <c r="G589" s="2" t="s">
        <v>1669</v>
      </c>
      <c r="H589" s="2" t="s">
        <v>1669</v>
      </c>
      <c r="I589" s="1" t="s">
        <v>1530</v>
      </c>
      <c r="J589" s="1" t="s">
        <v>1531</v>
      </c>
      <c r="L589" s="34">
        <v>0.27</v>
      </c>
      <c r="M589" s="35"/>
      <c r="N589" s="35">
        <v>1848.09</v>
      </c>
      <c r="O589" s="35"/>
      <c r="P589" s="35"/>
      <c r="Q589" s="35"/>
      <c r="R589" s="14"/>
      <c r="S589" s="14"/>
      <c r="T589" s="35"/>
      <c r="U589" s="35"/>
    </row>
    <row r="590" spans="1:22" ht="51" x14ac:dyDescent="0.2">
      <c r="A590" s="1" t="s">
        <v>451</v>
      </c>
      <c r="B590" s="2" t="s">
        <v>32</v>
      </c>
      <c r="C590" s="2" t="s">
        <v>424</v>
      </c>
      <c r="D590" s="2" t="s">
        <v>425</v>
      </c>
      <c r="E590" s="2">
        <v>2020</v>
      </c>
      <c r="F590" s="2" t="s">
        <v>203</v>
      </c>
      <c r="G590" s="2" t="s">
        <v>1669</v>
      </c>
      <c r="H590" s="2" t="s">
        <v>1669</v>
      </c>
      <c r="I590" s="1" t="s">
        <v>646</v>
      </c>
      <c r="J590" s="1" t="s">
        <v>647</v>
      </c>
      <c r="L590" s="34"/>
      <c r="M590" s="35"/>
      <c r="N590" s="35"/>
      <c r="O590" s="35"/>
      <c r="P590" s="35"/>
      <c r="Q590" s="35"/>
      <c r="R590" s="14"/>
      <c r="S590" s="35"/>
      <c r="T590" s="35"/>
      <c r="U590" s="35"/>
      <c r="V590" s="60" t="s">
        <v>1753</v>
      </c>
    </row>
    <row r="591" spans="1:22" ht="76.5" x14ac:dyDescent="0.2">
      <c r="A591" s="1" t="s">
        <v>451</v>
      </c>
      <c r="B591" s="2" t="s">
        <v>32</v>
      </c>
      <c r="C591" s="2" t="s">
        <v>424</v>
      </c>
      <c r="D591" s="2" t="s">
        <v>425</v>
      </c>
      <c r="E591" s="2">
        <v>2020</v>
      </c>
      <c r="F591" s="2" t="s">
        <v>276</v>
      </c>
      <c r="G591" s="2" t="s">
        <v>1669</v>
      </c>
      <c r="H591" s="2" t="s">
        <v>1668</v>
      </c>
      <c r="I591" s="1" t="s">
        <v>993</v>
      </c>
      <c r="J591" s="1" t="s">
        <v>14</v>
      </c>
      <c r="L591" s="34"/>
      <c r="M591" s="35"/>
      <c r="N591" s="35"/>
      <c r="O591" s="35"/>
      <c r="P591" s="35"/>
      <c r="Q591" s="35"/>
      <c r="R591" s="14"/>
      <c r="S591" s="14"/>
      <c r="T591" s="35"/>
      <c r="U591" s="35"/>
      <c r="V591" s="60" t="s">
        <v>1753</v>
      </c>
    </row>
    <row r="592" spans="1:22" ht="63.75" x14ac:dyDescent="0.2">
      <c r="A592" s="1" t="s">
        <v>1129</v>
      </c>
      <c r="B592" s="2" t="s">
        <v>318</v>
      </c>
      <c r="C592" s="2" t="s">
        <v>424</v>
      </c>
      <c r="D592" s="2" t="s">
        <v>425</v>
      </c>
      <c r="E592" s="2">
        <v>2020</v>
      </c>
      <c r="F592" s="2" t="s">
        <v>291</v>
      </c>
      <c r="G592" s="2" t="s">
        <v>1669</v>
      </c>
      <c r="H592" s="2" t="s">
        <v>1669</v>
      </c>
      <c r="I592" s="1" t="s">
        <v>1130</v>
      </c>
      <c r="J592" s="1" t="s">
        <v>1131</v>
      </c>
      <c r="L592" s="34">
        <v>0.17399999999999999</v>
      </c>
      <c r="M592" s="35"/>
      <c r="N592" s="35">
        <f>88*0.8</f>
        <v>70.400000000000006</v>
      </c>
      <c r="O592" s="35"/>
      <c r="P592" s="35"/>
      <c r="Q592" s="35"/>
      <c r="R592" s="14"/>
      <c r="S592" s="14"/>
      <c r="T592" s="35"/>
      <c r="U592" s="35"/>
      <c r="V592" s="60" t="s">
        <v>1680</v>
      </c>
    </row>
    <row r="593" spans="1:22" ht="38.25" x14ac:dyDescent="0.2">
      <c r="A593" s="1" t="s">
        <v>47</v>
      </c>
      <c r="B593" s="2" t="s">
        <v>48</v>
      </c>
      <c r="C593" s="2" t="s">
        <v>49</v>
      </c>
      <c r="D593" s="2" t="s">
        <v>50</v>
      </c>
      <c r="E593" s="2">
        <v>2020</v>
      </c>
      <c r="F593" s="2" t="s">
        <v>13</v>
      </c>
      <c r="G593" s="2" t="s">
        <v>1667</v>
      </c>
      <c r="H593" s="2" t="s">
        <v>1669</v>
      </c>
      <c r="I593" s="1" t="s">
        <v>14</v>
      </c>
      <c r="J593" s="1" t="s">
        <v>508</v>
      </c>
      <c r="L593" s="5">
        <v>0.14199999999999999</v>
      </c>
      <c r="M593" s="35">
        <f>197/2</f>
        <v>98.5</v>
      </c>
      <c r="N593" s="35">
        <f>197/2</f>
        <v>98.5</v>
      </c>
      <c r="O593" s="35"/>
      <c r="P593" s="35"/>
      <c r="Q593" s="35"/>
      <c r="R593" s="35"/>
      <c r="S593" s="35"/>
      <c r="T593" s="35"/>
      <c r="U593" s="35"/>
      <c r="V593" s="60" t="s">
        <v>1721</v>
      </c>
    </row>
    <row r="594" spans="1:22" ht="38.25" x14ac:dyDescent="0.2">
      <c r="A594" s="1" t="s">
        <v>47</v>
      </c>
      <c r="B594" s="2" t="s">
        <v>48</v>
      </c>
      <c r="C594" s="2" t="s">
        <v>49</v>
      </c>
      <c r="D594" s="2" t="s">
        <v>50</v>
      </c>
      <c r="E594" s="2">
        <v>2020</v>
      </c>
      <c r="F594" s="2" t="s">
        <v>188</v>
      </c>
      <c r="G594" s="2" t="s">
        <v>1667</v>
      </c>
      <c r="H594" s="2" t="s">
        <v>1669</v>
      </c>
      <c r="I594" s="1" t="s">
        <v>14</v>
      </c>
      <c r="J594" s="1" t="s">
        <v>607</v>
      </c>
      <c r="L594" s="34">
        <v>0.15</v>
      </c>
      <c r="M594" s="35">
        <f>964/2</f>
        <v>482</v>
      </c>
      <c r="N594" s="35">
        <f>964/2</f>
        <v>482</v>
      </c>
      <c r="O594" s="35"/>
      <c r="P594" s="35"/>
      <c r="Q594" s="35"/>
      <c r="R594" s="14"/>
      <c r="S594" s="35"/>
      <c r="T594" s="35"/>
      <c r="U594" s="35"/>
      <c r="V594" s="60" t="s">
        <v>1721</v>
      </c>
    </row>
    <row r="595" spans="1:22" ht="38.25" x14ac:dyDescent="0.2">
      <c r="A595" s="1" t="s">
        <v>47</v>
      </c>
      <c r="B595" s="2" t="s">
        <v>48</v>
      </c>
      <c r="C595" s="2" t="s">
        <v>49</v>
      </c>
      <c r="D595" s="2" t="s">
        <v>50</v>
      </c>
      <c r="E595" s="2">
        <v>2020</v>
      </c>
      <c r="F595" s="2" t="s">
        <v>203</v>
      </c>
      <c r="G595" s="2" t="s">
        <v>1667</v>
      </c>
      <c r="H595" s="2" t="s">
        <v>1669</v>
      </c>
      <c r="I595" s="1" t="s">
        <v>14</v>
      </c>
      <c r="J595" s="1" t="s">
        <v>618</v>
      </c>
      <c r="L595" s="34">
        <v>0.157</v>
      </c>
      <c r="M595" s="35">
        <f>1126/2</f>
        <v>563</v>
      </c>
      <c r="N595" s="35">
        <f>1126/2</f>
        <v>563</v>
      </c>
      <c r="O595" s="35"/>
      <c r="P595" s="35"/>
      <c r="Q595" s="35"/>
      <c r="R595" s="14"/>
      <c r="S595" s="35"/>
      <c r="T595" s="35"/>
      <c r="U595" s="35"/>
      <c r="V595" s="60" t="s">
        <v>1721</v>
      </c>
    </row>
    <row r="596" spans="1:22" ht="38.25" x14ac:dyDescent="0.2">
      <c r="A596" s="1" t="s">
        <v>47</v>
      </c>
      <c r="B596" s="2" t="s">
        <v>48</v>
      </c>
      <c r="C596" s="2" t="s">
        <v>49</v>
      </c>
      <c r="D596" s="2" t="s">
        <v>50</v>
      </c>
      <c r="E596" s="2">
        <v>2020</v>
      </c>
      <c r="F596" s="2" t="s">
        <v>211</v>
      </c>
      <c r="G596" s="2" t="s">
        <v>1667</v>
      </c>
      <c r="H596" s="2" t="s">
        <v>1669</v>
      </c>
      <c r="I596" s="1" t="s">
        <v>14</v>
      </c>
      <c r="J596" s="1" t="s">
        <v>702</v>
      </c>
      <c r="L596" s="34">
        <v>0.183</v>
      </c>
      <c r="M596" s="35">
        <f>776/2</f>
        <v>388</v>
      </c>
      <c r="N596" s="35">
        <f>776/2</f>
        <v>388</v>
      </c>
      <c r="O596" s="35"/>
      <c r="P596" s="35"/>
      <c r="Q596" s="35"/>
      <c r="R596" s="14"/>
      <c r="S596" s="35"/>
      <c r="T596" s="35"/>
      <c r="U596" s="35"/>
      <c r="V596" s="60" t="s">
        <v>1721</v>
      </c>
    </row>
    <row r="597" spans="1:22" ht="38.25" x14ac:dyDescent="0.2">
      <c r="A597" s="1" t="s">
        <v>47</v>
      </c>
      <c r="B597" s="2" t="s">
        <v>48</v>
      </c>
      <c r="C597" s="2" t="s">
        <v>49</v>
      </c>
      <c r="D597" s="2" t="s">
        <v>50</v>
      </c>
      <c r="E597" s="2">
        <v>2020</v>
      </c>
      <c r="F597" s="2" t="s">
        <v>221</v>
      </c>
      <c r="G597" s="2" t="s">
        <v>1667</v>
      </c>
      <c r="H597" s="2" t="s">
        <v>1669</v>
      </c>
      <c r="I597" s="1" t="s">
        <v>14</v>
      </c>
      <c r="J597" s="1" t="s">
        <v>805</v>
      </c>
      <c r="L597" s="34">
        <v>0.158</v>
      </c>
      <c r="M597" s="35">
        <f>1207/2</f>
        <v>603.5</v>
      </c>
      <c r="N597" s="35">
        <f>1207/2</f>
        <v>603.5</v>
      </c>
      <c r="O597" s="35"/>
      <c r="P597" s="35"/>
      <c r="Q597" s="35"/>
      <c r="R597" s="14"/>
      <c r="S597" s="14"/>
      <c r="T597" s="35"/>
      <c r="U597" s="35"/>
      <c r="V597" s="60" t="s">
        <v>1721</v>
      </c>
    </row>
    <row r="598" spans="1:22" ht="38.25" x14ac:dyDescent="0.2">
      <c r="A598" s="1" t="s">
        <v>47</v>
      </c>
      <c r="B598" s="2" t="s">
        <v>48</v>
      </c>
      <c r="C598" s="2" t="s">
        <v>49</v>
      </c>
      <c r="D598" s="2" t="s">
        <v>50</v>
      </c>
      <c r="E598" s="2">
        <v>2020</v>
      </c>
      <c r="F598" s="2" t="s">
        <v>256</v>
      </c>
      <c r="G598" s="2" t="s">
        <v>1667</v>
      </c>
      <c r="H598" s="2" t="s">
        <v>1669</v>
      </c>
      <c r="I598" s="1" t="s">
        <v>14</v>
      </c>
      <c r="J598" s="1" t="s">
        <v>918</v>
      </c>
      <c r="L598" s="34">
        <v>0.156</v>
      </c>
      <c r="M598" s="35">
        <f>1452/2</f>
        <v>726</v>
      </c>
      <c r="N598" s="35">
        <f>1452/2</f>
        <v>726</v>
      </c>
      <c r="O598" s="35"/>
      <c r="P598" s="35"/>
      <c r="Q598" s="35"/>
      <c r="R598" s="14"/>
      <c r="S598" s="14"/>
      <c r="T598" s="35"/>
      <c r="U598" s="35"/>
      <c r="V598" s="60" t="s">
        <v>1721</v>
      </c>
    </row>
    <row r="599" spans="1:22" ht="38.25" x14ac:dyDescent="0.2">
      <c r="A599" s="1" t="s">
        <v>47</v>
      </c>
      <c r="B599" s="2" t="s">
        <v>48</v>
      </c>
      <c r="C599" s="2" t="s">
        <v>49</v>
      </c>
      <c r="D599" s="2" t="s">
        <v>50</v>
      </c>
      <c r="E599" s="2">
        <v>2020</v>
      </c>
      <c r="F599" s="2" t="s">
        <v>276</v>
      </c>
      <c r="G599" s="2" t="s">
        <v>1667</v>
      </c>
      <c r="H599" s="2" t="s">
        <v>1669</v>
      </c>
      <c r="I599" s="1" t="s">
        <v>14</v>
      </c>
      <c r="J599" s="1" t="s">
        <v>1031</v>
      </c>
      <c r="L599" s="34">
        <v>0.153</v>
      </c>
      <c r="M599" s="35">
        <f>1123/2</f>
        <v>561.5</v>
      </c>
      <c r="N599" s="35">
        <f>1123/2</f>
        <v>561.5</v>
      </c>
      <c r="O599" s="35"/>
      <c r="P599" s="35"/>
      <c r="Q599" s="35"/>
      <c r="R599" s="14"/>
      <c r="S599" s="14"/>
      <c r="T599" s="35"/>
      <c r="U599" s="35"/>
      <c r="V599" s="60" t="s">
        <v>1721</v>
      </c>
    </row>
    <row r="600" spans="1:22" ht="38.25" x14ac:dyDescent="0.2">
      <c r="A600" s="1" t="s">
        <v>47</v>
      </c>
      <c r="B600" s="2" t="s">
        <v>48</v>
      </c>
      <c r="C600" s="2" t="s">
        <v>49</v>
      </c>
      <c r="D600" s="2" t="s">
        <v>50</v>
      </c>
      <c r="E600" s="2">
        <v>2020</v>
      </c>
      <c r="F600" s="2" t="s">
        <v>291</v>
      </c>
      <c r="G600" s="2" t="s">
        <v>1667</v>
      </c>
      <c r="H600" s="2" t="s">
        <v>1669</v>
      </c>
      <c r="I600" s="1" t="s">
        <v>14</v>
      </c>
      <c r="J600" s="1" t="s">
        <v>1176</v>
      </c>
      <c r="L600" s="34">
        <v>0.156</v>
      </c>
      <c r="M600" s="35">
        <f>860.6/2</f>
        <v>430.3</v>
      </c>
      <c r="N600" s="35">
        <f>860.6/2</f>
        <v>430.3</v>
      </c>
      <c r="O600" s="35"/>
      <c r="P600" s="35"/>
      <c r="Q600" s="35"/>
      <c r="R600" s="14"/>
      <c r="S600" s="14"/>
      <c r="T600" s="35"/>
      <c r="U600" s="35"/>
      <c r="V600" s="60" t="s">
        <v>1721</v>
      </c>
    </row>
    <row r="601" spans="1:22" ht="38.25" x14ac:dyDescent="0.2">
      <c r="A601" s="1" t="s">
        <v>47</v>
      </c>
      <c r="B601" s="2" t="s">
        <v>48</v>
      </c>
      <c r="C601" s="2" t="s">
        <v>49</v>
      </c>
      <c r="D601" s="2" t="s">
        <v>50</v>
      </c>
      <c r="E601" s="2">
        <v>2020</v>
      </c>
      <c r="F601" s="2" t="s">
        <v>311</v>
      </c>
      <c r="G601" s="2" t="s">
        <v>1667</v>
      </c>
      <c r="H601" s="2" t="s">
        <v>1669</v>
      </c>
      <c r="I601" s="1" t="s">
        <v>14</v>
      </c>
      <c r="J601" s="1" t="s">
        <v>1249</v>
      </c>
      <c r="L601" s="5">
        <v>0.158</v>
      </c>
      <c r="M601" s="35">
        <f>895.9/2</f>
        <v>447.95</v>
      </c>
      <c r="N601" s="35">
        <f>895.9/2</f>
        <v>447.95</v>
      </c>
      <c r="O601" s="35"/>
      <c r="P601" s="35"/>
      <c r="Q601" s="35"/>
      <c r="R601" s="6"/>
      <c r="S601" s="6"/>
      <c r="T601" s="35"/>
      <c r="U601" s="35"/>
      <c r="V601" s="60" t="s">
        <v>1721</v>
      </c>
    </row>
    <row r="602" spans="1:22" ht="38.25" x14ac:dyDescent="0.2">
      <c r="A602" s="1" t="s">
        <v>47</v>
      </c>
      <c r="B602" s="2" t="s">
        <v>48</v>
      </c>
      <c r="C602" s="2" t="s">
        <v>49</v>
      </c>
      <c r="D602" s="2" t="s">
        <v>50</v>
      </c>
      <c r="E602" s="2">
        <v>2020</v>
      </c>
      <c r="F602" s="2" t="s">
        <v>337</v>
      </c>
      <c r="G602" s="2" t="s">
        <v>1667</v>
      </c>
      <c r="H602" s="2" t="s">
        <v>1669</v>
      </c>
      <c r="I602" s="1" t="s">
        <v>14</v>
      </c>
      <c r="J602" s="1" t="s">
        <v>1435</v>
      </c>
      <c r="L602" s="34">
        <v>0.14399999999999999</v>
      </c>
      <c r="M602" s="35">
        <f>825.9/2</f>
        <v>412.95</v>
      </c>
      <c r="N602" s="35">
        <f>825.9/2</f>
        <v>412.95</v>
      </c>
      <c r="O602" s="35"/>
      <c r="P602" s="35"/>
      <c r="Q602" s="35"/>
      <c r="R602" s="14"/>
      <c r="S602" s="14"/>
      <c r="T602" s="35"/>
      <c r="U602" s="35"/>
      <c r="V602" s="60" t="s">
        <v>1721</v>
      </c>
    </row>
    <row r="603" spans="1:22" ht="38.25" x14ac:dyDescent="0.2">
      <c r="A603" s="1" t="s">
        <v>47</v>
      </c>
      <c r="B603" s="2" t="s">
        <v>48</v>
      </c>
      <c r="C603" s="2" t="s">
        <v>49</v>
      </c>
      <c r="D603" s="2" t="s">
        <v>50</v>
      </c>
      <c r="E603" s="2">
        <v>2020</v>
      </c>
      <c r="F603" s="2" t="s">
        <v>364</v>
      </c>
      <c r="G603" s="2" t="s">
        <v>1667</v>
      </c>
      <c r="H603" s="2" t="s">
        <v>1669</v>
      </c>
      <c r="I603" s="1" t="s">
        <v>14</v>
      </c>
      <c r="J603" s="1" t="s">
        <v>1497</v>
      </c>
      <c r="L603" s="34">
        <v>0.14299999999999999</v>
      </c>
      <c r="M603" s="35">
        <f>992.9/2</f>
        <v>496.45</v>
      </c>
      <c r="N603" s="35">
        <f>992.9/2</f>
        <v>496.45</v>
      </c>
      <c r="O603" s="35"/>
      <c r="P603" s="35"/>
      <c r="Q603" s="35"/>
      <c r="R603" s="14"/>
      <c r="S603" s="14"/>
      <c r="T603" s="35"/>
      <c r="U603" s="35"/>
      <c r="V603" s="60" t="s">
        <v>1721</v>
      </c>
    </row>
    <row r="604" spans="1:22" ht="38.25" x14ac:dyDescent="0.2">
      <c r="A604" s="1" t="s">
        <v>47</v>
      </c>
      <c r="B604" s="2" t="s">
        <v>48</v>
      </c>
      <c r="C604" s="2" t="s">
        <v>49</v>
      </c>
      <c r="D604" s="2" t="s">
        <v>50</v>
      </c>
      <c r="E604" s="2">
        <v>2020</v>
      </c>
      <c r="F604" s="2" t="s">
        <v>388</v>
      </c>
      <c r="G604" s="2" t="s">
        <v>1667</v>
      </c>
      <c r="H604" s="2" t="s">
        <v>1669</v>
      </c>
      <c r="I604" s="1" t="s">
        <v>14</v>
      </c>
      <c r="J604" s="1" t="s">
        <v>1617</v>
      </c>
      <c r="L604" s="34">
        <v>0.14299999999999999</v>
      </c>
      <c r="M604" s="35">
        <v>1077.78</v>
      </c>
      <c r="N604" s="35"/>
      <c r="O604" s="35"/>
      <c r="P604" s="35"/>
      <c r="Q604" s="35"/>
      <c r="R604" s="35"/>
      <c r="S604" s="35"/>
      <c r="T604" s="35"/>
      <c r="U604" s="35"/>
    </row>
    <row r="605" spans="1:22" ht="38.25" x14ac:dyDescent="0.2">
      <c r="A605" s="1" t="s">
        <v>112</v>
      </c>
      <c r="B605" s="2" t="s">
        <v>48</v>
      </c>
      <c r="C605" s="2" t="s">
        <v>49</v>
      </c>
      <c r="D605" s="2" t="s">
        <v>50</v>
      </c>
      <c r="E605" s="2">
        <v>2020</v>
      </c>
      <c r="F605" s="2" t="s">
        <v>13</v>
      </c>
      <c r="G605" s="2" t="s">
        <v>1667</v>
      </c>
      <c r="H605" s="2" t="s">
        <v>1669</v>
      </c>
      <c r="I605" s="1" t="s">
        <v>14</v>
      </c>
      <c r="J605" s="1" t="s">
        <v>538</v>
      </c>
      <c r="L605" s="5">
        <v>0.129</v>
      </c>
      <c r="M605" s="35">
        <f>908*0.8</f>
        <v>726.40000000000009</v>
      </c>
      <c r="N605" s="35"/>
      <c r="O605" s="35"/>
      <c r="P605" s="35"/>
      <c r="Q605" s="35"/>
      <c r="R605" s="35"/>
      <c r="S605" s="35"/>
      <c r="T605" s="35"/>
      <c r="U605" s="35"/>
      <c r="V605" s="60" t="s">
        <v>1680</v>
      </c>
    </row>
    <row r="606" spans="1:22" ht="38.25" x14ac:dyDescent="0.2">
      <c r="A606" s="1" t="s">
        <v>112</v>
      </c>
      <c r="B606" s="2" t="s">
        <v>48</v>
      </c>
      <c r="C606" s="2" t="s">
        <v>49</v>
      </c>
      <c r="D606" s="2" t="s">
        <v>50</v>
      </c>
      <c r="E606" s="2">
        <v>2020</v>
      </c>
      <c r="F606" s="2" t="s">
        <v>188</v>
      </c>
      <c r="G606" s="2" t="s">
        <v>1667</v>
      </c>
      <c r="H606" s="2" t="s">
        <v>1669</v>
      </c>
      <c r="I606" s="1" t="s">
        <v>14</v>
      </c>
      <c r="J606" s="1" t="s">
        <v>605</v>
      </c>
      <c r="L606" s="34">
        <v>0.13300000000000001</v>
      </c>
      <c r="M606" s="35">
        <f>814*0.8</f>
        <v>651.20000000000005</v>
      </c>
      <c r="N606" s="35"/>
      <c r="O606" s="35"/>
      <c r="P606" s="35"/>
      <c r="Q606" s="35"/>
      <c r="R606" s="14"/>
      <c r="S606" s="35"/>
      <c r="T606" s="35"/>
      <c r="U606" s="35"/>
      <c r="V606" s="60" t="s">
        <v>1680</v>
      </c>
    </row>
    <row r="607" spans="1:22" ht="38.25" x14ac:dyDescent="0.2">
      <c r="A607" s="1" t="s">
        <v>112</v>
      </c>
      <c r="B607" s="2" t="s">
        <v>48</v>
      </c>
      <c r="C607" s="2" t="s">
        <v>49</v>
      </c>
      <c r="D607" s="2" t="s">
        <v>50</v>
      </c>
      <c r="E607" s="2">
        <v>2020</v>
      </c>
      <c r="F607" s="2" t="s">
        <v>203</v>
      </c>
      <c r="G607" s="2" t="s">
        <v>1667</v>
      </c>
      <c r="H607" s="2" t="s">
        <v>1669</v>
      </c>
      <c r="I607" s="1" t="s">
        <v>14</v>
      </c>
      <c r="J607" s="1" t="s">
        <v>660</v>
      </c>
      <c r="L607" s="34">
        <v>0.13600000000000001</v>
      </c>
      <c r="M607" s="35">
        <f>960*0.8</f>
        <v>768</v>
      </c>
      <c r="N607" s="35"/>
      <c r="O607" s="35"/>
      <c r="P607" s="35"/>
      <c r="Q607" s="35"/>
      <c r="R607" s="14"/>
      <c r="S607" s="35"/>
      <c r="T607" s="35"/>
      <c r="U607" s="35"/>
      <c r="V607" s="60" t="s">
        <v>1680</v>
      </c>
    </row>
    <row r="608" spans="1:22" ht="63.75" x14ac:dyDescent="0.2">
      <c r="A608" s="1" t="s">
        <v>112</v>
      </c>
      <c r="B608" s="2" t="s">
        <v>48</v>
      </c>
      <c r="C608" s="2" t="s">
        <v>49</v>
      </c>
      <c r="D608" s="2" t="s">
        <v>50</v>
      </c>
      <c r="E608" s="2">
        <v>2020</v>
      </c>
      <c r="F608" s="2" t="s">
        <v>211</v>
      </c>
      <c r="G608" s="2" t="s">
        <v>1667</v>
      </c>
      <c r="H608" s="2" t="s">
        <v>1669</v>
      </c>
      <c r="I608" s="1" t="s">
        <v>14</v>
      </c>
      <c r="J608" s="1" t="s">
        <v>748</v>
      </c>
      <c r="L608" s="34">
        <v>0.15240000000000001</v>
      </c>
      <c r="M608" s="35">
        <f>641*0.8/2</f>
        <v>256.40000000000003</v>
      </c>
      <c r="N608" s="35">
        <f>641*0.8/2</f>
        <v>256.40000000000003</v>
      </c>
      <c r="O608" s="35"/>
      <c r="P608" s="35"/>
      <c r="Q608" s="35"/>
      <c r="R608" s="14"/>
      <c r="S608" s="35"/>
      <c r="T608" s="35"/>
      <c r="U608" s="35"/>
      <c r="V608" s="60" t="s">
        <v>1761</v>
      </c>
    </row>
    <row r="609" spans="1:22" ht="38.25" x14ac:dyDescent="0.2">
      <c r="A609" s="1" t="s">
        <v>112</v>
      </c>
      <c r="B609" s="2" t="s">
        <v>48</v>
      </c>
      <c r="C609" s="2" t="s">
        <v>49</v>
      </c>
      <c r="D609" s="2" t="s">
        <v>50</v>
      </c>
      <c r="E609" s="2">
        <v>2020</v>
      </c>
      <c r="F609" s="2" t="s">
        <v>221</v>
      </c>
      <c r="G609" s="2" t="s">
        <v>1667</v>
      </c>
      <c r="H609" s="2" t="s">
        <v>1669</v>
      </c>
      <c r="I609" s="1" t="s">
        <v>14</v>
      </c>
      <c r="J609" s="1" t="s">
        <v>847</v>
      </c>
      <c r="L609" s="34">
        <v>0.15570000000000001</v>
      </c>
      <c r="N609" s="35">
        <f>594*0.8</f>
        <v>475.20000000000005</v>
      </c>
      <c r="O609" s="35"/>
      <c r="P609" s="35"/>
      <c r="Q609" s="35"/>
      <c r="R609" s="14"/>
      <c r="S609" s="14"/>
      <c r="T609" s="35"/>
      <c r="U609" s="35"/>
      <c r="V609" s="60" t="s">
        <v>1680</v>
      </c>
    </row>
    <row r="610" spans="1:22" ht="38.25" x14ac:dyDescent="0.2">
      <c r="A610" s="1" t="s">
        <v>112</v>
      </c>
      <c r="B610" s="2" t="s">
        <v>48</v>
      </c>
      <c r="C610" s="2" t="s">
        <v>49</v>
      </c>
      <c r="D610" s="2" t="s">
        <v>50</v>
      </c>
      <c r="E610" s="2">
        <v>2020</v>
      </c>
      <c r="F610" s="2" t="s">
        <v>256</v>
      </c>
      <c r="G610" s="2" t="s">
        <v>1667</v>
      </c>
      <c r="H610" s="2" t="s">
        <v>1669</v>
      </c>
      <c r="I610" s="1" t="s">
        <v>14</v>
      </c>
      <c r="J610" s="1" t="s">
        <v>951</v>
      </c>
      <c r="L610" s="34">
        <v>0.15040000000000001</v>
      </c>
      <c r="N610" s="35">
        <f>926*0.8</f>
        <v>740.80000000000007</v>
      </c>
      <c r="O610" s="35"/>
      <c r="P610" s="35"/>
      <c r="Q610" s="35"/>
      <c r="R610" s="14"/>
      <c r="S610" s="14"/>
      <c r="T610" s="35"/>
      <c r="U610" s="35"/>
      <c r="V610" s="60" t="s">
        <v>1680</v>
      </c>
    </row>
    <row r="611" spans="1:22" ht="63.75" x14ac:dyDescent="0.2">
      <c r="A611" s="1" t="s">
        <v>112</v>
      </c>
      <c r="B611" s="2" t="s">
        <v>48</v>
      </c>
      <c r="C611" s="2" t="s">
        <v>49</v>
      </c>
      <c r="D611" s="2" t="s">
        <v>50</v>
      </c>
      <c r="E611" s="2">
        <v>2020</v>
      </c>
      <c r="F611" s="2" t="s">
        <v>276</v>
      </c>
      <c r="G611" s="2" t="s">
        <v>1667</v>
      </c>
      <c r="H611" s="2" t="s">
        <v>1669</v>
      </c>
      <c r="I611" s="1" t="s">
        <v>14</v>
      </c>
      <c r="J611" s="1" t="s">
        <v>1053</v>
      </c>
      <c r="L611" s="34">
        <v>0.1497</v>
      </c>
      <c r="M611" s="35">
        <f>883*0.8/2</f>
        <v>353.20000000000005</v>
      </c>
      <c r="N611" s="35">
        <f>883*0.8/2</f>
        <v>353.20000000000005</v>
      </c>
      <c r="O611" s="35"/>
      <c r="P611" s="35"/>
      <c r="Q611" s="35"/>
      <c r="R611" s="14"/>
      <c r="S611" s="14"/>
      <c r="T611" s="35"/>
      <c r="U611" s="35"/>
      <c r="V611" s="60" t="s">
        <v>1761</v>
      </c>
    </row>
    <row r="612" spans="1:22" ht="63.75" x14ac:dyDescent="0.2">
      <c r="A612" s="1" t="s">
        <v>112</v>
      </c>
      <c r="B612" s="2" t="s">
        <v>48</v>
      </c>
      <c r="C612" s="2" t="s">
        <v>49</v>
      </c>
      <c r="D612" s="2" t="s">
        <v>50</v>
      </c>
      <c r="E612" s="2">
        <v>2020</v>
      </c>
      <c r="F612" s="2" t="s">
        <v>291</v>
      </c>
      <c r="G612" s="2" t="s">
        <v>1667</v>
      </c>
      <c r="H612" s="2" t="s">
        <v>1669</v>
      </c>
      <c r="I612" s="1" t="s">
        <v>14</v>
      </c>
      <c r="J612" s="1" t="s">
        <v>1185</v>
      </c>
      <c r="L612" s="34">
        <v>0.14710000000000001</v>
      </c>
      <c r="M612" s="35">
        <f>593*0.8/2</f>
        <v>237.20000000000002</v>
      </c>
      <c r="N612" s="35">
        <f>593*0.8/2</f>
        <v>237.20000000000002</v>
      </c>
      <c r="O612" s="35"/>
      <c r="P612" s="35"/>
      <c r="Q612" s="35"/>
      <c r="R612" s="14"/>
      <c r="S612" s="14"/>
      <c r="T612" s="35"/>
      <c r="U612" s="35"/>
      <c r="V612" s="60" t="s">
        <v>1761</v>
      </c>
    </row>
    <row r="613" spans="1:22" ht="63.75" x14ac:dyDescent="0.2">
      <c r="A613" s="1" t="s">
        <v>112</v>
      </c>
      <c r="B613" s="2" t="s">
        <v>48</v>
      </c>
      <c r="C613" s="2" t="s">
        <v>49</v>
      </c>
      <c r="D613" s="2" t="s">
        <v>50</v>
      </c>
      <c r="E613" s="2">
        <v>2020</v>
      </c>
      <c r="F613" s="2" t="s">
        <v>311</v>
      </c>
      <c r="G613" s="2" t="s">
        <v>1667</v>
      </c>
      <c r="H613" s="2" t="s">
        <v>1669</v>
      </c>
      <c r="I613" s="1" t="s">
        <v>14</v>
      </c>
      <c r="J613" s="1" t="s">
        <v>1309</v>
      </c>
      <c r="L613" s="34">
        <v>0.14849999999999999</v>
      </c>
      <c r="M613" s="35">
        <f>733*0.8/2</f>
        <v>293.2</v>
      </c>
      <c r="N613" s="35">
        <f>733*0.8/2</f>
        <v>293.2</v>
      </c>
      <c r="O613" s="35"/>
      <c r="P613" s="35"/>
      <c r="Q613" s="35"/>
      <c r="R613" s="14"/>
      <c r="S613" s="14"/>
      <c r="T613" s="35"/>
      <c r="U613" s="35"/>
      <c r="V613" s="60" t="s">
        <v>1761</v>
      </c>
    </row>
    <row r="614" spans="1:22" ht="63.75" x14ac:dyDescent="0.2">
      <c r="A614" s="1" t="s">
        <v>112</v>
      </c>
      <c r="B614" s="2" t="s">
        <v>48</v>
      </c>
      <c r="C614" s="2" t="s">
        <v>49</v>
      </c>
      <c r="D614" s="2" t="s">
        <v>50</v>
      </c>
      <c r="E614" s="2">
        <v>2020</v>
      </c>
      <c r="F614" s="2" t="s">
        <v>337</v>
      </c>
      <c r="G614" s="2" t="s">
        <v>1667</v>
      </c>
      <c r="H614" s="2" t="s">
        <v>1669</v>
      </c>
      <c r="I614" s="1" t="s">
        <v>14</v>
      </c>
      <c r="J614" s="1" t="s">
        <v>1451</v>
      </c>
      <c r="L614" s="34">
        <v>0.1452</v>
      </c>
      <c r="M614" s="35">
        <f>607*0.8/2</f>
        <v>242.8</v>
      </c>
      <c r="N614" s="35">
        <f>607*0.8/2</f>
        <v>242.8</v>
      </c>
      <c r="O614" s="35"/>
      <c r="P614" s="35"/>
      <c r="Q614" s="35"/>
      <c r="R614" s="14"/>
      <c r="S614" s="14"/>
      <c r="T614" s="35"/>
      <c r="U614" s="35"/>
      <c r="V614" s="60" t="s">
        <v>1761</v>
      </c>
    </row>
    <row r="615" spans="1:22" ht="63.75" x14ac:dyDescent="0.2">
      <c r="A615" s="1" t="s">
        <v>112</v>
      </c>
      <c r="B615" s="2" t="s">
        <v>48</v>
      </c>
      <c r="C615" s="2" t="s">
        <v>49</v>
      </c>
      <c r="D615" s="2" t="s">
        <v>50</v>
      </c>
      <c r="E615" s="2">
        <v>2020</v>
      </c>
      <c r="F615" s="2" t="s">
        <v>364</v>
      </c>
      <c r="G615" s="2" t="s">
        <v>1667</v>
      </c>
      <c r="H615" s="2" t="s">
        <v>1669</v>
      </c>
      <c r="I615" s="1" t="s">
        <v>14</v>
      </c>
      <c r="J615" s="1" t="s">
        <v>1587</v>
      </c>
      <c r="L615" s="34">
        <v>0.14069999999999999</v>
      </c>
      <c r="M615" s="43">
        <f>682.47*0.8/2</f>
        <v>272.988</v>
      </c>
      <c r="N615" s="43">
        <f>682.47*0.8/2</f>
        <v>272.988</v>
      </c>
      <c r="O615" s="35"/>
      <c r="P615" s="35"/>
      <c r="Q615" s="35"/>
      <c r="R615" s="14"/>
      <c r="S615" s="14"/>
      <c r="T615" s="35"/>
      <c r="U615" s="35"/>
      <c r="V615" s="60" t="s">
        <v>1761</v>
      </c>
    </row>
    <row r="616" spans="1:22" ht="63.75" x14ac:dyDescent="0.2">
      <c r="A616" s="1" t="s">
        <v>112</v>
      </c>
      <c r="B616" s="2" t="s">
        <v>48</v>
      </c>
      <c r="C616" s="2" t="s">
        <v>49</v>
      </c>
      <c r="D616" s="2" t="s">
        <v>50</v>
      </c>
      <c r="E616" s="2">
        <v>2020</v>
      </c>
      <c r="F616" s="2" t="s">
        <v>388</v>
      </c>
      <c r="G616" s="2" t="s">
        <v>1667</v>
      </c>
      <c r="H616" s="2" t="s">
        <v>1669</v>
      </c>
      <c r="I616" s="1" t="s">
        <v>14</v>
      </c>
      <c r="J616" s="1" t="s">
        <v>1659</v>
      </c>
      <c r="L616" s="34">
        <v>0.14069999999999999</v>
      </c>
      <c r="M616" s="43">
        <f>852.48*0.8/2</f>
        <v>340.99200000000002</v>
      </c>
      <c r="N616" s="43">
        <f>852.48*0.8/2</f>
        <v>340.99200000000002</v>
      </c>
      <c r="O616" s="35"/>
      <c r="P616" s="35"/>
      <c r="Q616" s="35"/>
      <c r="R616" s="35"/>
      <c r="S616" s="35"/>
      <c r="T616" s="35"/>
      <c r="U616" s="35"/>
      <c r="V616" s="60" t="s">
        <v>1761</v>
      </c>
    </row>
    <row r="617" spans="1:22" ht="63.75" x14ac:dyDescent="0.2">
      <c r="A617" s="1" t="s">
        <v>51</v>
      </c>
      <c r="B617" s="2" t="s">
        <v>48</v>
      </c>
      <c r="C617" s="2" t="s">
        <v>49</v>
      </c>
      <c r="D617" s="2" t="s">
        <v>50</v>
      </c>
      <c r="E617" s="2">
        <v>2020</v>
      </c>
      <c r="F617" s="2" t="s">
        <v>13</v>
      </c>
      <c r="G617" s="2" t="s">
        <v>1667</v>
      </c>
      <c r="H617" s="2" t="s">
        <v>1669</v>
      </c>
      <c r="I617" s="1" t="s">
        <v>14</v>
      </c>
      <c r="J617" s="1" t="s">
        <v>493</v>
      </c>
      <c r="L617" s="5">
        <v>0.13900000000000001</v>
      </c>
      <c r="M617" s="35">
        <f>336*0.8/2</f>
        <v>134.4</v>
      </c>
      <c r="N617" s="35">
        <f>336*0.8/2</f>
        <v>134.4</v>
      </c>
      <c r="O617" s="35"/>
      <c r="P617" s="35"/>
      <c r="Q617" s="35"/>
      <c r="R617" s="35"/>
      <c r="S617" s="35"/>
      <c r="T617" s="35"/>
      <c r="U617" s="35"/>
      <c r="V617" s="60" t="s">
        <v>1761</v>
      </c>
    </row>
    <row r="618" spans="1:22" ht="63.75" x14ac:dyDescent="0.2">
      <c r="A618" s="1" t="s">
        <v>51</v>
      </c>
      <c r="B618" s="2" t="s">
        <v>48</v>
      </c>
      <c r="C618" s="2" t="s">
        <v>49</v>
      </c>
      <c r="D618" s="2" t="s">
        <v>50</v>
      </c>
      <c r="E618" s="2">
        <v>2020</v>
      </c>
      <c r="F618" s="2" t="s">
        <v>188</v>
      </c>
      <c r="G618" s="2" t="s">
        <v>1667</v>
      </c>
      <c r="H618" s="2" t="s">
        <v>1669</v>
      </c>
      <c r="I618" s="1" t="s">
        <v>14</v>
      </c>
      <c r="J618" s="1" t="s">
        <v>581</v>
      </c>
      <c r="L618" s="34">
        <v>0.14399999999999999</v>
      </c>
      <c r="M618" s="35">
        <f>421*0.8/2</f>
        <v>168.4</v>
      </c>
      <c r="N618" s="35">
        <f>421*0.8/2</f>
        <v>168.4</v>
      </c>
      <c r="O618" s="35"/>
      <c r="P618" s="35"/>
      <c r="Q618" s="35"/>
      <c r="R618" s="14"/>
      <c r="S618" s="35"/>
      <c r="T618" s="35"/>
      <c r="U618" s="35"/>
      <c r="V618" s="60" t="s">
        <v>1761</v>
      </c>
    </row>
    <row r="619" spans="1:22" ht="63.75" x14ac:dyDescent="0.2">
      <c r="A619" s="1" t="s">
        <v>51</v>
      </c>
      <c r="B619" s="2" t="s">
        <v>48</v>
      </c>
      <c r="C619" s="2" t="s">
        <v>49</v>
      </c>
      <c r="D619" s="2" t="s">
        <v>50</v>
      </c>
      <c r="E619" s="2">
        <v>2020</v>
      </c>
      <c r="F619" s="2" t="s">
        <v>203</v>
      </c>
      <c r="G619" s="2" t="s">
        <v>1667</v>
      </c>
      <c r="H619" s="2" t="s">
        <v>1669</v>
      </c>
      <c r="I619" s="1" t="s">
        <v>14</v>
      </c>
      <c r="J619" s="1" t="s">
        <v>615</v>
      </c>
      <c r="L619" s="34">
        <v>0.16200000000000001</v>
      </c>
      <c r="M619" s="35">
        <f>329*0.8/2</f>
        <v>131.6</v>
      </c>
      <c r="N619" s="35">
        <f>329*0.8/2</f>
        <v>131.6</v>
      </c>
      <c r="O619" s="35"/>
      <c r="P619" s="35"/>
      <c r="Q619" s="35"/>
      <c r="R619" s="14"/>
      <c r="S619" s="35"/>
      <c r="T619" s="35"/>
      <c r="U619" s="35"/>
      <c r="V619" s="60" t="s">
        <v>1761</v>
      </c>
    </row>
    <row r="620" spans="1:22" ht="63.75" x14ac:dyDescent="0.2">
      <c r="A620" s="1" t="s">
        <v>51</v>
      </c>
      <c r="B620" s="2" t="s">
        <v>48</v>
      </c>
      <c r="C620" s="2" t="s">
        <v>49</v>
      </c>
      <c r="D620" s="2" t="s">
        <v>50</v>
      </c>
      <c r="E620" s="2">
        <v>2020</v>
      </c>
      <c r="F620" s="2" t="s">
        <v>211</v>
      </c>
      <c r="G620" s="2" t="s">
        <v>1667</v>
      </c>
      <c r="H620" s="2" t="s">
        <v>1669</v>
      </c>
      <c r="I620" s="1" t="s">
        <v>14</v>
      </c>
      <c r="J620" s="1" t="s">
        <v>682</v>
      </c>
      <c r="L620" s="34">
        <v>0.18099999999999999</v>
      </c>
      <c r="M620" s="35">
        <f>162.6*0.8/2</f>
        <v>65.040000000000006</v>
      </c>
      <c r="N620" s="35">
        <f>162.6*0.8/2</f>
        <v>65.040000000000006</v>
      </c>
      <c r="O620" s="35"/>
      <c r="P620" s="35"/>
      <c r="Q620" s="35"/>
      <c r="R620" s="14"/>
      <c r="S620" s="35"/>
      <c r="T620" s="35"/>
      <c r="U620" s="35"/>
      <c r="V620" s="60" t="s">
        <v>1761</v>
      </c>
    </row>
    <row r="621" spans="1:22" ht="63.75" x14ac:dyDescent="0.2">
      <c r="A621" s="1" t="s">
        <v>51</v>
      </c>
      <c r="B621" s="2" t="s">
        <v>48</v>
      </c>
      <c r="C621" s="2" t="s">
        <v>49</v>
      </c>
      <c r="D621" s="2" t="s">
        <v>50</v>
      </c>
      <c r="E621" s="2">
        <v>2020</v>
      </c>
      <c r="F621" s="2" t="s">
        <v>221</v>
      </c>
      <c r="G621" s="2" t="s">
        <v>1667</v>
      </c>
      <c r="H621" s="2" t="s">
        <v>1669</v>
      </c>
      <c r="I621" s="1" t="s">
        <v>14</v>
      </c>
      <c r="J621" s="1" t="s">
        <v>793</v>
      </c>
      <c r="L621" s="34">
        <v>0.183</v>
      </c>
      <c r="M621" s="35">
        <f>159*0.8/2</f>
        <v>63.6</v>
      </c>
      <c r="N621" s="35">
        <f>159*0.8/2</f>
        <v>63.6</v>
      </c>
      <c r="O621" s="35"/>
      <c r="P621" s="35"/>
      <c r="Q621" s="35"/>
      <c r="R621" s="14"/>
      <c r="S621" s="35"/>
      <c r="T621" s="35"/>
      <c r="U621" s="35"/>
      <c r="V621" s="60" t="s">
        <v>1761</v>
      </c>
    </row>
    <row r="622" spans="1:22" ht="63.75" x14ac:dyDescent="0.2">
      <c r="A622" s="1" t="s">
        <v>51</v>
      </c>
      <c r="B622" s="2" t="s">
        <v>48</v>
      </c>
      <c r="C622" s="2" t="s">
        <v>49</v>
      </c>
      <c r="D622" s="2" t="s">
        <v>50</v>
      </c>
      <c r="E622" s="2">
        <v>2020</v>
      </c>
      <c r="F622" s="2" t="s">
        <v>256</v>
      </c>
      <c r="G622" s="2" t="s">
        <v>1667</v>
      </c>
      <c r="H622" s="2" t="s">
        <v>1669</v>
      </c>
      <c r="I622" s="1" t="s">
        <v>14</v>
      </c>
      <c r="J622" s="1" t="s">
        <v>876</v>
      </c>
      <c r="L622" s="34">
        <v>0.189</v>
      </c>
      <c r="M622" s="35">
        <f>184*0.8/2</f>
        <v>73.600000000000009</v>
      </c>
      <c r="N622" s="35">
        <f>184*0.8/2</f>
        <v>73.600000000000009</v>
      </c>
      <c r="O622" s="35"/>
      <c r="P622" s="35"/>
      <c r="Q622" s="35"/>
      <c r="R622" s="14"/>
      <c r="S622" s="14"/>
      <c r="T622" s="35"/>
      <c r="U622" s="35"/>
      <c r="V622" s="60" t="s">
        <v>1761</v>
      </c>
    </row>
    <row r="623" spans="1:22" ht="63.75" x14ac:dyDescent="0.2">
      <c r="A623" s="1" t="s">
        <v>51</v>
      </c>
      <c r="B623" s="2" t="s">
        <v>48</v>
      </c>
      <c r="C623" s="2" t="s">
        <v>49</v>
      </c>
      <c r="D623" s="2" t="s">
        <v>50</v>
      </c>
      <c r="E623" s="2">
        <v>2020</v>
      </c>
      <c r="F623" s="2" t="s">
        <v>276</v>
      </c>
      <c r="G623" s="2" t="s">
        <v>1667</v>
      </c>
      <c r="H623" s="2" t="s">
        <v>1669</v>
      </c>
      <c r="I623" s="1" t="s">
        <v>14</v>
      </c>
      <c r="J623" s="1" t="s">
        <v>1052</v>
      </c>
      <c r="L623" s="34">
        <v>0.16300000000000001</v>
      </c>
      <c r="M623" s="35">
        <f>181*0.8/2</f>
        <v>72.400000000000006</v>
      </c>
      <c r="N623" s="35">
        <f>181*0.8/2</f>
        <v>72.400000000000006</v>
      </c>
      <c r="O623" s="35"/>
      <c r="P623" s="35"/>
      <c r="Q623" s="35"/>
      <c r="R623" s="14"/>
      <c r="S623" s="14"/>
      <c r="T623" s="35"/>
      <c r="U623" s="35"/>
      <c r="V623" s="60" t="s">
        <v>1761</v>
      </c>
    </row>
    <row r="624" spans="1:22" ht="63.75" x14ac:dyDescent="0.2">
      <c r="A624" s="1" t="s">
        <v>51</v>
      </c>
      <c r="B624" s="2" t="s">
        <v>48</v>
      </c>
      <c r="C624" s="2" t="s">
        <v>49</v>
      </c>
      <c r="D624" s="2" t="s">
        <v>50</v>
      </c>
      <c r="E624" s="2">
        <v>2020</v>
      </c>
      <c r="F624" s="2" t="s">
        <v>291</v>
      </c>
      <c r="G624" s="2" t="s">
        <v>1667</v>
      </c>
      <c r="H624" s="2" t="s">
        <v>1669</v>
      </c>
      <c r="I624" s="1" t="s">
        <v>14</v>
      </c>
      <c r="J624" s="1" t="s">
        <v>1132</v>
      </c>
      <c r="L624" s="34">
        <v>0.18099999999999999</v>
      </c>
      <c r="M624" s="35">
        <f>155*0.8/2</f>
        <v>62</v>
      </c>
      <c r="N624" s="35">
        <f>155*0.8/2</f>
        <v>62</v>
      </c>
      <c r="O624" s="35"/>
      <c r="P624" s="35"/>
      <c r="Q624" s="35"/>
      <c r="R624" s="14"/>
      <c r="S624" s="14"/>
      <c r="T624" s="35"/>
      <c r="U624" s="35"/>
      <c r="V624" s="60" t="s">
        <v>1761</v>
      </c>
    </row>
    <row r="625" spans="1:22" ht="63.75" x14ac:dyDescent="0.2">
      <c r="A625" s="1" t="s">
        <v>51</v>
      </c>
      <c r="B625" s="2" t="s">
        <v>48</v>
      </c>
      <c r="C625" s="2" t="s">
        <v>49</v>
      </c>
      <c r="D625" s="2" t="s">
        <v>50</v>
      </c>
      <c r="E625" s="2">
        <v>2020</v>
      </c>
      <c r="F625" s="2" t="s">
        <v>311</v>
      </c>
      <c r="G625" s="2" t="s">
        <v>1667</v>
      </c>
      <c r="H625" s="2" t="s">
        <v>1669</v>
      </c>
      <c r="I625" s="1" t="s">
        <v>14</v>
      </c>
      <c r="J625" s="1" t="s">
        <v>1293</v>
      </c>
      <c r="L625" s="34">
        <v>0.17199999999999999</v>
      </c>
      <c r="M625" s="35">
        <f>164*0.8/2</f>
        <v>65.600000000000009</v>
      </c>
      <c r="N625" s="35">
        <f>164*0.8/2</f>
        <v>65.600000000000009</v>
      </c>
      <c r="O625" s="35"/>
      <c r="P625" s="35"/>
      <c r="Q625" s="35"/>
      <c r="R625" s="14"/>
      <c r="S625" s="14"/>
      <c r="T625" s="35"/>
      <c r="U625" s="35"/>
      <c r="V625" s="60" t="s">
        <v>1761</v>
      </c>
    </row>
    <row r="626" spans="1:22" ht="63.75" x14ac:dyDescent="0.2">
      <c r="A626" s="1" t="s">
        <v>51</v>
      </c>
      <c r="B626" s="2" t="s">
        <v>48</v>
      </c>
      <c r="C626" s="2" t="s">
        <v>49</v>
      </c>
      <c r="D626" s="2" t="s">
        <v>50</v>
      </c>
      <c r="E626" s="2">
        <v>2020</v>
      </c>
      <c r="F626" s="2" t="s">
        <v>337</v>
      </c>
      <c r="G626" s="2" t="s">
        <v>1667</v>
      </c>
      <c r="H626" s="2" t="s">
        <v>1669</v>
      </c>
      <c r="I626" s="1" t="s">
        <v>14</v>
      </c>
      <c r="J626" s="1" t="s">
        <v>1443</v>
      </c>
      <c r="L626" s="34">
        <v>0.16300000000000001</v>
      </c>
      <c r="M626" s="35">
        <f>246*0.8/2</f>
        <v>98.4</v>
      </c>
      <c r="N626" s="35">
        <f>246*0.8/2</f>
        <v>98.4</v>
      </c>
      <c r="O626" s="35"/>
      <c r="P626" s="35"/>
      <c r="Q626" s="35"/>
      <c r="R626" s="14"/>
      <c r="S626" s="14"/>
      <c r="T626" s="35"/>
      <c r="U626" s="35"/>
      <c r="V626" s="60" t="s">
        <v>1761</v>
      </c>
    </row>
    <row r="627" spans="1:22" ht="63.75" x14ac:dyDescent="0.2">
      <c r="A627" s="1" t="s">
        <v>51</v>
      </c>
      <c r="B627" s="2" t="s">
        <v>48</v>
      </c>
      <c r="C627" s="2" t="s">
        <v>49</v>
      </c>
      <c r="D627" s="2" t="s">
        <v>50</v>
      </c>
      <c r="E627" s="2">
        <v>2020</v>
      </c>
      <c r="F627" s="2" t="s">
        <v>364</v>
      </c>
      <c r="G627" s="2" t="s">
        <v>1667</v>
      </c>
      <c r="H627" s="2" t="s">
        <v>1669</v>
      </c>
      <c r="I627" s="1" t="s">
        <v>14</v>
      </c>
      <c r="J627" s="1" t="s">
        <v>1534</v>
      </c>
      <c r="L627" s="34">
        <v>0.16300000000000001</v>
      </c>
      <c r="M627" s="35">
        <f>208*0.8/2</f>
        <v>83.2</v>
      </c>
      <c r="N627" s="35">
        <f>208*0.8/2</f>
        <v>83.2</v>
      </c>
      <c r="O627" s="35"/>
      <c r="P627" s="35"/>
      <c r="Q627" s="35"/>
      <c r="R627" s="14"/>
      <c r="S627" s="14"/>
      <c r="T627" s="35"/>
      <c r="U627" s="35"/>
      <c r="V627" s="60" t="s">
        <v>1761</v>
      </c>
    </row>
    <row r="628" spans="1:22" ht="63.75" x14ac:dyDescent="0.2">
      <c r="A628" s="1" t="s">
        <v>51</v>
      </c>
      <c r="B628" s="2" t="s">
        <v>48</v>
      </c>
      <c r="C628" s="2" t="s">
        <v>49</v>
      </c>
      <c r="D628" s="2" t="s">
        <v>50</v>
      </c>
      <c r="E628" s="2">
        <v>2020</v>
      </c>
      <c r="F628" s="2" t="s">
        <v>388</v>
      </c>
      <c r="G628" s="2" t="s">
        <v>1667</v>
      </c>
      <c r="H628" s="2" t="s">
        <v>1669</v>
      </c>
      <c r="I628" s="1" t="s">
        <v>14</v>
      </c>
      <c r="J628" s="1" t="s">
        <v>1601</v>
      </c>
      <c r="L628" s="34">
        <v>0.16200000000000001</v>
      </c>
      <c r="M628" s="35">
        <f>221*0.8/2</f>
        <v>88.4</v>
      </c>
      <c r="N628" s="35">
        <f>221*0.8/2</f>
        <v>88.4</v>
      </c>
      <c r="O628" s="35"/>
      <c r="P628" s="35"/>
      <c r="Q628" s="35"/>
      <c r="R628" s="14"/>
      <c r="S628" s="14"/>
      <c r="T628" s="35"/>
      <c r="U628" s="35"/>
      <c r="V628" s="60" t="s">
        <v>1761</v>
      </c>
    </row>
    <row r="629" spans="1:22" ht="191.25" x14ac:dyDescent="0.2">
      <c r="A629" s="1" t="s">
        <v>1093</v>
      </c>
      <c r="B629" s="2" t="s">
        <v>198</v>
      </c>
      <c r="C629" s="2" t="s">
        <v>1094</v>
      </c>
      <c r="D629" s="2" t="s">
        <v>356</v>
      </c>
      <c r="E629" s="2">
        <v>2020</v>
      </c>
      <c r="F629" s="2" t="s">
        <v>291</v>
      </c>
      <c r="G629" s="2" t="s">
        <v>1669</v>
      </c>
      <c r="H629" s="2" t="s">
        <v>1668</v>
      </c>
      <c r="I629" s="1" t="s">
        <v>1095</v>
      </c>
      <c r="J629" s="1" t="s">
        <v>14</v>
      </c>
      <c r="L629" s="34">
        <v>0.28000000000000003</v>
      </c>
      <c r="M629" s="35"/>
      <c r="N629" s="35">
        <f>18*0.8</f>
        <v>14.4</v>
      </c>
      <c r="O629" s="35"/>
      <c r="P629" s="35"/>
      <c r="Q629" s="35"/>
      <c r="R629" s="14"/>
      <c r="S629" s="14"/>
      <c r="T629" s="35"/>
      <c r="U629" s="35"/>
      <c r="V629" s="60" t="s">
        <v>1680</v>
      </c>
    </row>
    <row r="630" spans="1:22" ht="89.25" x14ac:dyDescent="0.2">
      <c r="A630" s="1" t="s">
        <v>1093</v>
      </c>
      <c r="B630" s="2" t="s">
        <v>198</v>
      </c>
      <c r="C630" s="2" t="s">
        <v>1094</v>
      </c>
      <c r="D630" s="2" t="s">
        <v>356</v>
      </c>
      <c r="E630" s="2">
        <v>2020</v>
      </c>
      <c r="F630" s="2" t="s">
        <v>311</v>
      </c>
      <c r="G630" s="2" t="s">
        <v>1669</v>
      </c>
      <c r="H630" s="2" t="s">
        <v>1668</v>
      </c>
      <c r="I630" s="1" t="s">
        <v>1252</v>
      </c>
      <c r="J630" s="1" t="s">
        <v>14</v>
      </c>
      <c r="L630" s="34"/>
      <c r="M630" s="35"/>
      <c r="N630" s="35"/>
      <c r="O630" s="35"/>
      <c r="P630" s="35"/>
      <c r="Q630" s="35"/>
      <c r="R630" s="14"/>
      <c r="S630" s="14"/>
      <c r="T630" s="35"/>
      <c r="U630" s="35"/>
      <c r="V630" s="60" t="s">
        <v>1706</v>
      </c>
    </row>
    <row r="631" spans="1:22" ht="51" x14ac:dyDescent="0.2">
      <c r="A631" s="1" t="s">
        <v>260</v>
      </c>
      <c r="B631" s="2" t="s">
        <v>198</v>
      </c>
      <c r="C631" s="2" t="s">
        <v>261</v>
      </c>
      <c r="D631" s="2" t="s">
        <v>77</v>
      </c>
      <c r="E631" s="2">
        <v>2020</v>
      </c>
      <c r="F631" s="2" t="s">
        <v>311</v>
      </c>
      <c r="G631" s="2" t="s">
        <v>1669</v>
      </c>
      <c r="H631" s="2" t="s">
        <v>1668</v>
      </c>
      <c r="I631" s="1" t="s">
        <v>1236</v>
      </c>
      <c r="J631" s="1" t="s">
        <v>14</v>
      </c>
      <c r="L631" s="34"/>
      <c r="M631" s="35"/>
      <c r="N631" s="35"/>
      <c r="O631" s="35"/>
      <c r="P631" s="35"/>
      <c r="Q631" s="35"/>
      <c r="R631" s="14"/>
      <c r="S631" s="14"/>
      <c r="T631" s="35"/>
      <c r="U631" s="35"/>
      <c r="V631" s="60" t="s">
        <v>1693</v>
      </c>
    </row>
    <row r="632" spans="1:22" ht="25.5" x14ac:dyDescent="0.2">
      <c r="A632" s="1" t="s">
        <v>182</v>
      </c>
      <c r="B632" s="2" t="s">
        <v>29</v>
      </c>
      <c r="C632" s="2" t="s">
        <v>183</v>
      </c>
      <c r="D632" s="2" t="s">
        <v>184</v>
      </c>
      <c r="E632" s="2">
        <v>2020</v>
      </c>
      <c r="F632" s="2" t="s">
        <v>13</v>
      </c>
      <c r="G632" s="2" t="s">
        <v>1667</v>
      </c>
      <c r="H632" s="2" t="s">
        <v>1669</v>
      </c>
      <c r="I632" s="1" t="s">
        <v>14</v>
      </c>
      <c r="J632" s="1" t="s">
        <v>523</v>
      </c>
      <c r="L632" s="34">
        <v>0.113</v>
      </c>
      <c r="M632" s="35"/>
      <c r="N632" s="35"/>
      <c r="O632" s="35"/>
      <c r="P632" s="35"/>
      <c r="Q632" s="35">
        <v>82.06</v>
      </c>
      <c r="R632" s="35"/>
      <c r="S632" s="35"/>
      <c r="T632" s="35"/>
      <c r="U632" s="35"/>
      <c r="V632" s="60" t="s">
        <v>1752</v>
      </c>
    </row>
    <row r="633" spans="1:22" ht="25.5" x14ac:dyDescent="0.2">
      <c r="A633" s="1" t="s">
        <v>182</v>
      </c>
      <c r="B633" s="2" t="s">
        <v>29</v>
      </c>
      <c r="C633" s="2" t="s">
        <v>183</v>
      </c>
      <c r="D633" s="2" t="s">
        <v>184</v>
      </c>
      <c r="E633" s="2">
        <v>2020</v>
      </c>
      <c r="F633" s="2" t="s">
        <v>188</v>
      </c>
      <c r="G633" s="2" t="s">
        <v>1667</v>
      </c>
      <c r="H633" s="2" t="s">
        <v>1669</v>
      </c>
      <c r="I633" s="1" t="s">
        <v>14</v>
      </c>
      <c r="J633" s="1" t="s">
        <v>572</v>
      </c>
      <c r="L633" s="34">
        <v>0.1137</v>
      </c>
      <c r="M633" s="35"/>
      <c r="N633" s="35"/>
      <c r="O633" s="35"/>
      <c r="P633" s="35"/>
      <c r="Q633" s="39">
        <v>44.42</v>
      </c>
      <c r="R633" s="14"/>
      <c r="S633" s="35"/>
      <c r="T633" s="35"/>
      <c r="U633" s="35"/>
      <c r="V633" s="60" t="s">
        <v>1752</v>
      </c>
    </row>
    <row r="634" spans="1:22" ht="25.5" x14ac:dyDescent="0.2">
      <c r="A634" s="1" t="s">
        <v>182</v>
      </c>
      <c r="B634" s="2" t="s">
        <v>29</v>
      </c>
      <c r="C634" s="2" t="s">
        <v>183</v>
      </c>
      <c r="D634" s="2" t="s">
        <v>184</v>
      </c>
      <c r="E634" s="2">
        <v>2020</v>
      </c>
      <c r="F634" s="2" t="s">
        <v>203</v>
      </c>
      <c r="G634" s="2" t="s">
        <v>1667</v>
      </c>
      <c r="H634" s="2" t="s">
        <v>1669</v>
      </c>
      <c r="I634" s="1" t="s">
        <v>14</v>
      </c>
      <c r="J634" s="1" t="s">
        <v>662</v>
      </c>
      <c r="L634" s="34">
        <v>0.1043</v>
      </c>
      <c r="M634" s="35"/>
      <c r="N634" s="35"/>
      <c r="O634" s="35"/>
      <c r="P634" s="35"/>
      <c r="Q634" s="35">
        <v>62</v>
      </c>
      <c r="R634" s="14"/>
      <c r="S634" s="35"/>
      <c r="T634" s="35"/>
      <c r="U634" s="35"/>
      <c r="V634" s="60" t="s">
        <v>1752</v>
      </c>
    </row>
    <row r="635" spans="1:22" ht="25.5" x14ac:dyDescent="0.2">
      <c r="A635" s="1" t="s">
        <v>182</v>
      </c>
      <c r="B635" s="2" t="s">
        <v>29</v>
      </c>
      <c r="C635" s="2" t="s">
        <v>183</v>
      </c>
      <c r="D635" s="2" t="s">
        <v>184</v>
      </c>
      <c r="E635" s="2">
        <v>2020</v>
      </c>
      <c r="F635" s="2" t="s">
        <v>211</v>
      </c>
      <c r="G635" s="2" t="s">
        <v>1667</v>
      </c>
      <c r="H635" s="2" t="s">
        <v>1669</v>
      </c>
      <c r="I635" s="1" t="s">
        <v>14</v>
      </c>
      <c r="J635" s="1" t="s">
        <v>711</v>
      </c>
      <c r="L635" s="34">
        <v>0.12870000000000001</v>
      </c>
      <c r="M635" s="35"/>
      <c r="N635" s="35"/>
      <c r="O635" s="35"/>
      <c r="P635" s="35"/>
      <c r="Q635" s="35">
        <v>30.26</v>
      </c>
      <c r="R635" s="14"/>
      <c r="S635" s="35"/>
      <c r="T635" s="35"/>
      <c r="U635" s="35"/>
      <c r="V635" s="60" t="s">
        <v>1752</v>
      </c>
    </row>
    <row r="636" spans="1:22" ht="25.5" x14ac:dyDescent="0.2">
      <c r="A636" s="1" t="s">
        <v>182</v>
      </c>
      <c r="B636" s="2" t="s">
        <v>29</v>
      </c>
      <c r="C636" s="2" t="s">
        <v>183</v>
      </c>
      <c r="D636" s="2" t="s">
        <v>184</v>
      </c>
      <c r="E636" s="2">
        <v>2020</v>
      </c>
      <c r="F636" s="2" t="s">
        <v>221</v>
      </c>
      <c r="G636" s="2" t="s">
        <v>1667</v>
      </c>
      <c r="H636" s="2" t="s">
        <v>1669</v>
      </c>
      <c r="I636" s="1" t="s">
        <v>14</v>
      </c>
      <c r="J636" s="1" t="s">
        <v>842</v>
      </c>
      <c r="L636" s="34">
        <v>0.1143</v>
      </c>
      <c r="M636" s="35"/>
      <c r="N636" s="35"/>
      <c r="O636" s="35"/>
      <c r="P636" s="35"/>
      <c r="Q636" s="35">
        <v>15.96</v>
      </c>
      <c r="R636" s="14"/>
      <c r="S636" s="14"/>
      <c r="T636" s="35"/>
      <c r="U636" s="35"/>
      <c r="V636" s="60" t="s">
        <v>1752</v>
      </c>
    </row>
    <row r="637" spans="1:22" ht="25.5" x14ac:dyDescent="0.2">
      <c r="A637" s="1" t="s">
        <v>182</v>
      </c>
      <c r="B637" s="2" t="s">
        <v>29</v>
      </c>
      <c r="C637" s="2" t="s">
        <v>183</v>
      </c>
      <c r="D637" s="2" t="s">
        <v>184</v>
      </c>
      <c r="E637" s="2">
        <v>2020</v>
      </c>
      <c r="F637" s="2" t="s">
        <v>256</v>
      </c>
      <c r="G637" s="2" t="s">
        <v>1667</v>
      </c>
      <c r="H637" s="2" t="s">
        <v>1669</v>
      </c>
      <c r="I637" s="1" t="s">
        <v>14</v>
      </c>
      <c r="J637" s="1" t="s">
        <v>944</v>
      </c>
      <c r="L637" s="34">
        <v>0.11</v>
      </c>
      <c r="M637" s="35"/>
      <c r="N637" s="35"/>
      <c r="O637" s="35"/>
      <c r="P637" s="35"/>
      <c r="Q637" s="35">
        <v>48.31</v>
      </c>
      <c r="R637" s="14"/>
      <c r="S637" s="14"/>
      <c r="T637" s="35"/>
      <c r="U637" s="35"/>
      <c r="V637" s="60" t="s">
        <v>1752</v>
      </c>
    </row>
    <row r="638" spans="1:22" ht="25.5" x14ac:dyDescent="0.2">
      <c r="A638" s="1" t="s">
        <v>182</v>
      </c>
      <c r="B638" s="2" t="s">
        <v>29</v>
      </c>
      <c r="C638" s="2" t="s">
        <v>183</v>
      </c>
      <c r="D638" s="2" t="s">
        <v>184</v>
      </c>
      <c r="E638" s="2">
        <v>2020</v>
      </c>
      <c r="F638" s="2" t="s">
        <v>276</v>
      </c>
      <c r="G638" s="2" t="s">
        <v>1667</v>
      </c>
      <c r="H638" s="2" t="s">
        <v>1669</v>
      </c>
      <c r="I638" s="1" t="s">
        <v>14</v>
      </c>
      <c r="J638" s="1" t="s">
        <v>1006</v>
      </c>
      <c r="L638" s="34">
        <v>0.12859999999999999</v>
      </c>
      <c r="M638" s="35"/>
      <c r="N638" s="35"/>
      <c r="O638" s="35"/>
      <c r="P638" s="35"/>
      <c r="Q638" s="35">
        <v>29.82</v>
      </c>
      <c r="R638" s="14"/>
      <c r="S638" s="14"/>
      <c r="T638" s="35"/>
      <c r="U638" s="35"/>
      <c r="V638" s="60" t="s">
        <v>1752</v>
      </c>
    </row>
    <row r="639" spans="1:22" ht="25.5" x14ac:dyDescent="0.2">
      <c r="A639" s="1" t="s">
        <v>182</v>
      </c>
      <c r="B639" s="2" t="s">
        <v>29</v>
      </c>
      <c r="C639" s="2" t="s">
        <v>183</v>
      </c>
      <c r="D639" s="2" t="s">
        <v>184</v>
      </c>
      <c r="E639" s="2">
        <v>2020</v>
      </c>
      <c r="F639" s="2" t="s">
        <v>291</v>
      </c>
      <c r="G639" s="2" t="s">
        <v>1667</v>
      </c>
      <c r="H639" s="2" t="s">
        <v>1669</v>
      </c>
      <c r="I639" s="1" t="s">
        <v>14</v>
      </c>
      <c r="J639" s="1" t="s">
        <v>1121</v>
      </c>
      <c r="L639" s="34">
        <v>0.12770000000000001</v>
      </c>
      <c r="M639" s="35"/>
      <c r="N639" s="35"/>
      <c r="O639" s="35"/>
      <c r="P639" s="35"/>
      <c r="Q639" s="35">
        <v>67.22</v>
      </c>
      <c r="R639" s="14"/>
      <c r="S639" s="14"/>
      <c r="T639" s="35"/>
      <c r="U639" s="35"/>
      <c r="V639" s="60" t="s">
        <v>1752</v>
      </c>
    </row>
    <row r="640" spans="1:22" ht="25.5" x14ac:dyDescent="0.2">
      <c r="A640" s="1" t="s">
        <v>182</v>
      </c>
      <c r="B640" s="2" t="s">
        <v>29</v>
      </c>
      <c r="C640" s="2" t="s">
        <v>183</v>
      </c>
      <c r="D640" s="2" t="s">
        <v>184</v>
      </c>
      <c r="E640" s="2">
        <v>2020</v>
      </c>
      <c r="F640" s="2" t="s">
        <v>311</v>
      </c>
      <c r="G640" s="2" t="s">
        <v>1667</v>
      </c>
      <c r="H640" s="2" t="s">
        <v>1669</v>
      </c>
      <c r="I640" s="1" t="s">
        <v>14</v>
      </c>
      <c r="J640" s="1" t="s">
        <v>1292</v>
      </c>
      <c r="L640" s="34">
        <v>0.1215</v>
      </c>
      <c r="M640" s="35"/>
      <c r="N640" s="35"/>
      <c r="O640" s="35"/>
      <c r="P640" s="35"/>
      <c r="Q640" s="35">
        <v>64.599999999999994</v>
      </c>
      <c r="R640" s="14"/>
      <c r="S640" s="14"/>
      <c r="T640" s="35"/>
      <c r="U640" s="35"/>
      <c r="V640" s="60" t="s">
        <v>1752</v>
      </c>
    </row>
    <row r="641" spans="1:22" ht="25.5" x14ac:dyDescent="0.2">
      <c r="A641" s="1" t="s">
        <v>182</v>
      </c>
      <c r="B641" s="2" t="s">
        <v>29</v>
      </c>
      <c r="C641" s="2" t="s">
        <v>183</v>
      </c>
      <c r="D641" s="2" t="s">
        <v>184</v>
      </c>
      <c r="E641" s="2">
        <v>2020</v>
      </c>
      <c r="F641" s="2" t="s">
        <v>337</v>
      </c>
      <c r="G641" s="2" t="s">
        <v>1667</v>
      </c>
      <c r="H641" s="2" t="s">
        <v>1669</v>
      </c>
      <c r="I641" s="1" t="s">
        <v>14</v>
      </c>
      <c r="J641" s="1" t="s">
        <v>1384</v>
      </c>
      <c r="L641" s="34">
        <v>0.1124</v>
      </c>
      <c r="M641" s="35"/>
      <c r="N641" s="35"/>
      <c r="O641" s="35"/>
      <c r="P641" s="35"/>
      <c r="Q641" s="35">
        <v>48.91</v>
      </c>
      <c r="R641" s="14"/>
      <c r="S641" s="14"/>
      <c r="T641" s="35"/>
      <c r="U641" s="35"/>
      <c r="V641" s="60" t="s">
        <v>1752</v>
      </c>
    </row>
    <row r="642" spans="1:22" ht="25.5" x14ac:dyDescent="0.2">
      <c r="A642" s="1" t="s">
        <v>182</v>
      </c>
      <c r="B642" s="2" t="s">
        <v>29</v>
      </c>
      <c r="C642" s="2" t="s">
        <v>183</v>
      </c>
      <c r="D642" s="2" t="s">
        <v>184</v>
      </c>
      <c r="E642" s="2">
        <v>2020</v>
      </c>
      <c r="F642" s="2" t="s">
        <v>364</v>
      </c>
      <c r="G642" s="2" t="s">
        <v>1667</v>
      </c>
      <c r="H642" s="2" t="s">
        <v>1669</v>
      </c>
      <c r="I642" s="1" t="s">
        <v>14</v>
      </c>
      <c r="J642" s="1" t="s">
        <v>1513</v>
      </c>
      <c r="L642" s="34">
        <v>0.11310000000000001</v>
      </c>
      <c r="M642" s="35"/>
      <c r="N642" s="35"/>
      <c r="O642" s="35"/>
      <c r="P642" s="35"/>
      <c r="Q642" s="35">
        <v>79.510000000000005</v>
      </c>
      <c r="R642" s="14"/>
      <c r="S642" s="14"/>
      <c r="T642" s="35"/>
      <c r="U642" s="35"/>
      <c r="V642" s="60" t="s">
        <v>1752</v>
      </c>
    </row>
    <row r="643" spans="1:22" ht="25.5" x14ac:dyDescent="0.2">
      <c r="A643" s="1" t="s">
        <v>182</v>
      </c>
      <c r="B643" s="2" t="s">
        <v>29</v>
      </c>
      <c r="C643" s="2" t="s">
        <v>183</v>
      </c>
      <c r="D643" s="2" t="s">
        <v>184</v>
      </c>
      <c r="E643" s="2">
        <v>2020</v>
      </c>
      <c r="F643" s="2" t="s">
        <v>388</v>
      </c>
      <c r="G643" s="2" t="s">
        <v>1667</v>
      </c>
      <c r="H643" s="2" t="s">
        <v>1669</v>
      </c>
      <c r="I643" s="1" t="s">
        <v>14</v>
      </c>
      <c r="J643" s="1" t="s">
        <v>1620</v>
      </c>
      <c r="L643" s="34">
        <v>0.1004</v>
      </c>
      <c r="M643" s="35"/>
      <c r="N643" s="35"/>
      <c r="O643" s="35"/>
      <c r="P643" s="35"/>
      <c r="Q643" s="35">
        <v>70.06</v>
      </c>
      <c r="R643" s="35"/>
      <c r="S643" s="35"/>
      <c r="T643" s="35"/>
      <c r="U643" s="35"/>
      <c r="V643" s="60" t="s">
        <v>1752</v>
      </c>
    </row>
    <row r="644" spans="1:22" ht="69" customHeight="1" x14ac:dyDescent="0.2">
      <c r="A644" s="1" t="s">
        <v>1363</v>
      </c>
      <c r="B644" s="2" t="s">
        <v>222</v>
      </c>
      <c r="C644" s="2" t="s">
        <v>1364</v>
      </c>
      <c r="D644" s="2" t="s">
        <v>323</v>
      </c>
      <c r="E644" s="2">
        <v>2020</v>
      </c>
      <c r="F644" s="2" t="s">
        <v>337</v>
      </c>
      <c r="G644" s="2" t="s">
        <v>1669</v>
      </c>
      <c r="H644" s="2" t="s">
        <v>1668</v>
      </c>
      <c r="I644" s="1" t="s">
        <v>1365</v>
      </c>
      <c r="J644" s="1" t="s">
        <v>14</v>
      </c>
      <c r="L644" s="34"/>
      <c r="M644" s="35"/>
      <c r="N644" s="35"/>
      <c r="O644" s="35"/>
      <c r="P644" s="35"/>
      <c r="Q644" s="35"/>
      <c r="R644" s="14"/>
      <c r="S644" s="14"/>
      <c r="T644" s="35"/>
      <c r="U644" s="35"/>
      <c r="V644" s="60" t="s">
        <v>1693</v>
      </c>
    </row>
    <row r="645" spans="1:22" ht="89.25" x14ac:dyDescent="0.2">
      <c r="A645" s="1" t="s">
        <v>1376</v>
      </c>
      <c r="B645" s="2" t="s">
        <v>196</v>
      </c>
      <c r="C645" s="2" t="s">
        <v>1377</v>
      </c>
      <c r="D645" s="2" t="s">
        <v>74</v>
      </c>
      <c r="E645" s="2">
        <v>2020</v>
      </c>
      <c r="F645" s="2" t="s">
        <v>337</v>
      </c>
      <c r="G645" s="2" t="s">
        <v>1669</v>
      </c>
      <c r="H645" s="2" t="s">
        <v>1669</v>
      </c>
      <c r="I645" s="1" t="s">
        <v>1378</v>
      </c>
      <c r="J645" s="1" t="s">
        <v>1379</v>
      </c>
      <c r="L645" s="34" t="s">
        <v>1670</v>
      </c>
      <c r="M645" s="35"/>
      <c r="N645" s="35"/>
      <c r="O645" s="35"/>
      <c r="P645" s="35"/>
      <c r="Q645" s="35"/>
      <c r="R645" s="14"/>
      <c r="S645" s="14"/>
      <c r="T645" s="35"/>
      <c r="U645" s="35">
        <v>3032</v>
      </c>
      <c r="V645" s="60" t="s">
        <v>1711</v>
      </c>
    </row>
    <row r="646" spans="1:22" ht="38.25" x14ac:dyDescent="0.2">
      <c r="A646" s="1" t="s">
        <v>34</v>
      </c>
      <c r="B646" s="2" t="s">
        <v>10</v>
      </c>
      <c r="C646" s="2" t="s">
        <v>35</v>
      </c>
      <c r="D646" s="2" t="s">
        <v>36</v>
      </c>
      <c r="E646" s="2">
        <v>2020</v>
      </c>
      <c r="F646" s="2" t="s">
        <v>13</v>
      </c>
      <c r="G646" s="2" t="s">
        <v>1667</v>
      </c>
      <c r="H646" s="2" t="s">
        <v>1669</v>
      </c>
      <c r="I646" s="1" t="s">
        <v>14</v>
      </c>
      <c r="J646" s="1" t="s">
        <v>452</v>
      </c>
      <c r="L646" s="34"/>
      <c r="M646" s="35"/>
      <c r="N646" s="35"/>
      <c r="O646" s="35"/>
      <c r="P646" s="35"/>
      <c r="Q646" s="35"/>
      <c r="R646" s="35"/>
      <c r="S646" s="35"/>
      <c r="T646" s="35"/>
      <c r="U646" s="35"/>
      <c r="V646" s="60" t="s">
        <v>1735</v>
      </c>
    </row>
    <row r="647" spans="1:22" ht="38.25" x14ac:dyDescent="0.2">
      <c r="A647" s="1" t="s">
        <v>34</v>
      </c>
      <c r="B647" s="2" t="s">
        <v>10</v>
      </c>
      <c r="C647" s="2" t="s">
        <v>35</v>
      </c>
      <c r="D647" s="2" t="s">
        <v>36</v>
      </c>
      <c r="E647" s="2">
        <v>2020</v>
      </c>
      <c r="F647" s="2" t="s">
        <v>188</v>
      </c>
      <c r="G647" s="2" t="s">
        <v>1667</v>
      </c>
      <c r="H647" s="2" t="s">
        <v>1669</v>
      </c>
      <c r="I647" s="1" t="s">
        <v>14</v>
      </c>
      <c r="J647" s="1" t="s">
        <v>452</v>
      </c>
      <c r="L647" s="34"/>
      <c r="M647" s="35"/>
      <c r="N647" s="35"/>
      <c r="O647" s="35"/>
      <c r="P647" s="35"/>
      <c r="Q647" s="35"/>
      <c r="R647" s="14"/>
      <c r="S647" s="35"/>
      <c r="T647" s="35"/>
      <c r="U647" s="35"/>
      <c r="V647" s="60" t="s">
        <v>1735</v>
      </c>
    </row>
    <row r="648" spans="1:22" ht="38.25" x14ac:dyDescent="0.2">
      <c r="A648" s="1" t="s">
        <v>34</v>
      </c>
      <c r="B648" s="2" t="s">
        <v>10</v>
      </c>
      <c r="C648" s="2" t="s">
        <v>35</v>
      </c>
      <c r="D648" s="2" t="s">
        <v>36</v>
      </c>
      <c r="E648" s="2">
        <v>2020</v>
      </c>
      <c r="F648" s="2" t="s">
        <v>211</v>
      </c>
      <c r="G648" s="2" t="s">
        <v>1667</v>
      </c>
      <c r="H648" s="2" t="s">
        <v>1669</v>
      </c>
      <c r="I648" s="1" t="s">
        <v>14</v>
      </c>
      <c r="J648" s="1" t="s">
        <v>452</v>
      </c>
      <c r="L648" s="34"/>
      <c r="M648" s="35"/>
      <c r="N648" s="35"/>
      <c r="O648" s="35"/>
      <c r="P648" s="35"/>
      <c r="Q648" s="35"/>
      <c r="R648" s="14"/>
      <c r="S648" s="35"/>
      <c r="T648" s="35"/>
      <c r="U648" s="35"/>
      <c r="V648" s="60" t="s">
        <v>1735</v>
      </c>
    </row>
    <row r="649" spans="1:22" ht="76.5" x14ac:dyDescent="0.2">
      <c r="A649" s="1" t="s">
        <v>766</v>
      </c>
      <c r="B649" s="2" t="s">
        <v>295</v>
      </c>
      <c r="C649" s="2" t="s">
        <v>767</v>
      </c>
      <c r="D649" s="2" t="s">
        <v>36</v>
      </c>
      <c r="E649" s="2">
        <v>2020</v>
      </c>
      <c r="F649" s="2" t="s">
        <v>221</v>
      </c>
      <c r="G649" s="2" t="s">
        <v>1669</v>
      </c>
      <c r="H649" s="2" t="s">
        <v>1668</v>
      </c>
      <c r="I649" s="1" t="s">
        <v>768</v>
      </c>
      <c r="J649" s="1" t="s">
        <v>769</v>
      </c>
      <c r="L649" s="34"/>
      <c r="M649" s="35"/>
      <c r="N649" s="35"/>
      <c r="O649" s="35"/>
      <c r="P649" s="35"/>
      <c r="Q649" s="35"/>
      <c r="R649" s="14"/>
      <c r="S649" s="35"/>
      <c r="T649" s="35"/>
      <c r="U649" s="35"/>
      <c r="V649" s="60" t="s">
        <v>1706</v>
      </c>
    </row>
    <row r="650" spans="1:22" ht="63.75" x14ac:dyDescent="0.2">
      <c r="A650" s="1" t="s">
        <v>766</v>
      </c>
      <c r="B650" s="2" t="s">
        <v>295</v>
      </c>
      <c r="C650" s="2" t="s">
        <v>767</v>
      </c>
      <c r="D650" s="2" t="s">
        <v>36</v>
      </c>
      <c r="E650" s="2">
        <v>2020</v>
      </c>
      <c r="F650" s="2" t="s">
        <v>256</v>
      </c>
      <c r="G650" s="2" t="s">
        <v>1669</v>
      </c>
      <c r="H650" s="2" t="s">
        <v>1668</v>
      </c>
      <c r="I650" s="1" t="s">
        <v>897</v>
      </c>
      <c r="J650" s="1" t="s">
        <v>14</v>
      </c>
      <c r="L650" s="34"/>
      <c r="M650" s="35"/>
      <c r="N650" s="35"/>
      <c r="O650" s="35"/>
      <c r="P650" s="35"/>
      <c r="Q650" s="35"/>
      <c r="R650" s="14"/>
      <c r="S650" s="14"/>
      <c r="T650" s="35"/>
      <c r="U650" s="35"/>
      <c r="V650" s="60" t="s">
        <v>1706</v>
      </c>
    </row>
    <row r="651" spans="1:22" ht="38.25" x14ac:dyDescent="0.2">
      <c r="A651" s="1" t="s">
        <v>766</v>
      </c>
      <c r="B651" s="2" t="s">
        <v>295</v>
      </c>
      <c r="C651" s="2" t="s">
        <v>767</v>
      </c>
      <c r="D651" s="2" t="s">
        <v>36</v>
      </c>
      <c r="E651" s="2">
        <v>2020</v>
      </c>
      <c r="F651" s="2" t="s">
        <v>364</v>
      </c>
      <c r="G651" s="2" t="s">
        <v>1669</v>
      </c>
      <c r="H651" s="2" t="s">
        <v>1668</v>
      </c>
      <c r="I651" s="1" t="s">
        <v>1580</v>
      </c>
      <c r="J651" s="1" t="s">
        <v>14</v>
      </c>
      <c r="L651" s="34"/>
      <c r="M651" s="35"/>
      <c r="N651" s="35"/>
      <c r="O651" s="35"/>
      <c r="P651" s="35"/>
      <c r="Q651" s="35"/>
      <c r="R651" s="14"/>
      <c r="S651" s="14"/>
      <c r="T651" s="35"/>
      <c r="U651" s="35"/>
      <c r="V651" s="60" t="s">
        <v>1706</v>
      </c>
    </row>
    <row r="652" spans="1:22" ht="51" x14ac:dyDescent="0.2">
      <c r="A652" s="1" t="s">
        <v>162</v>
      </c>
      <c r="B652" s="2" t="s">
        <v>163</v>
      </c>
      <c r="C652" s="2" t="s">
        <v>164</v>
      </c>
      <c r="D652" s="2" t="s">
        <v>92</v>
      </c>
      <c r="E652" s="2">
        <v>2020</v>
      </c>
      <c r="F652" s="2" t="s">
        <v>13</v>
      </c>
      <c r="G652" s="2" t="s">
        <v>1669</v>
      </c>
      <c r="H652" s="2" t="s">
        <v>1668</v>
      </c>
      <c r="I652" s="1" t="s">
        <v>545</v>
      </c>
      <c r="J652" s="1" t="s">
        <v>14</v>
      </c>
      <c r="L652" s="5" t="s">
        <v>1670</v>
      </c>
      <c r="M652" s="35"/>
      <c r="N652" s="35"/>
      <c r="O652" s="35"/>
      <c r="P652" s="35"/>
      <c r="Q652" s="35"/>
      <c r="R652" s="35"/>
      <c r="S652" s="35"/>
      <c r="T652" s="35"/>
      <c r="U652" s="35">
        <v>18.600000000000001</v>
      </c>
      <c r="V652" s="60" t="s">
        <v>1711</v>
      </c>
    </row>
    <row r="653" spans="1:22" ht="51" x14ac:dyDescent="0.2">
      <c r="A653" s="1" t="s">
        <v>162</v>
      </c>
      <c r="B653" s="2" t="s">
        <v>163</v>
      </c>
      <c r="C653" s="2" t="s">
        <v>164</v>
      </c>
      <c r="D653" s="2" t="s">
        <v>92</v>
      </c>
      <c r="E653" s="2">
        <v>2020</v>
      </c>
      <c r="F653" s="2" t="s">
        <v>188</v>
      </c>
      <c r="G653" s="2" t="s">
        <v>1668</v>
      </c>
      <c r="H653" s="2" t="s">
        <v>1669</v>
      </c>
      <c r="I653" s="1" t="s">
        <v>14</v>
      </c>
      <c r="J653" s="1" t="s">
        <v>585</v>
      </c>
      <c r="L653" s="34" t="s">
        <v>1670</v>
      </c>
      <c r="M653" s="35"/>
      <c r="N653" s="35"/>
      <c r="O653" s="35"/>
      <c r="P653" s="35"/>
      <c r="Q653" s="35"/>
      <c r="R653" s="14"/>
      <c r="S653" s="35"/>
      <c r="T653" s="35"/>
      <c r="U653" s="35">
        <v>18.79</v>
      </c>
      <c r="V653" s="60" t="s">
        <v>1711</v>
      </c>
    </row>
    <row r="654" spans="1:22" ht="51" x14ac:dyDescent="0.2">
      <c r="A654" s="1" t="s">
        <v>162</v>
      </c>
      <c r="B654" s="2" t="s">
        <v>163</v>
      </c>
      <c r="C654" s="2" t="s">
        <v>164</v>
      </c>
      <c r="D654" s="2" t="s">
        <v>92</v>
      </c>
      <c r="E654" s="2">
        <v>2020</v>
      </c>
      <c r="F654" s="2" t="s">
        <v>203</v>
      </c>
      <c r="G654" s="2" t="s">
        <v>1668</v>
      </c>
      <c r="H654" s="2" t="s">
        <v>1669</v>
      </c>
      <c r="I654" s="1" t="s">
        <v>14</v>
      </c>
      <c r="J654" s="1" t="s">
        <v>671</v>
      </c>
      <c r="L654" s="34" t="s">
        <v>1670</v>
      </c>
      <c r="M654" s="35"/>
      <c r="N654" s="35"/>
      <c r="O654" s="35"/>
      <c r="P654" s="35"/>
      <c r="Q654" s="35"/>
      <c r="R654" s="14"/>
      <c r="S654" s="35"/>
      <c r="T654" s="35"/>
      <c r="U654" s="35">
        <v>17.07</v>
      </c>
      <c r="V654" s="60" t="s">
        <v>1711</v>
      </c>
    </row>
    <row r="655" spans="1:22" ht="51" x14ac:dyDescent="0.2">
      <c r="A655" s="1" t="s">
        <v>162</v>
      </c>
      <c r="B655" s="2" t="s">
        <v>163</v>
      </c>
      <c r="C655" s="2" t="s">
        <v>164</v>
      </c>
      <c r="D655" s="2" t="s">
        <v>92</v>
      </c>
      <c r="E655" s="2">
        <v>2020</v>
      </c>
      <c r="F655" s="2" t="s">
        <v>211</v>
      </c>
      <c r="G655" s="2" t="s">
        <v>1668</v>
      </c>
      <c r="H655" s="2" t="s">
        <v>1669</v>
      </c>
      <c r="I655" s="1" t="s">
        <v>14</v>
      </c>
      <c r="J655" s="1" t="s">
        <v>686</v>
      </c>
      <c r="L655" s="34" t="s">
        <v>1670</v>
      </c>
      <c r="M655" s="35"/>
      <c r="N655" s="35"/>
      <c r="O655" s="35"/>
      <c r="P655" s="35"/>
      <c r="Q655" s="35"/>
      <c r="R655" s="14"/>
      <c r="S655" s="35"/>
      <c r="T655" s="35"/>
      <c r="U655" s="35">
        <v>19.690000000000001</v>
      </c>
      <c r="V655" s="60" t="s">
        <v>1711</v>
      </c>
    </row>
    <row r="656" spans="1:22" ht="51" x14ac:dyDescent="0.2">
      <c r="A656" s="1" t="s">
        <v>162</v>
      </c>
      <c r="B656" s="2" t="s">
        <v>163</v>
      </c>
      <c r="C656" s="2" t="s">
        <v>164</v>
      </c>
      <c r="D656" s="2" t="s">
        <v>92</v>
      </c>
      <c r="E656" s="2">
        <v>2020</v>
      </c>
      <c r="F656" s="2" t="s">
        <v>221</v>
      </c>
      <c r="G656" s="2" t="s">
        <v>1669</v>
      </c>
      <c r="H656" s="2" t="s">
        <v>1668</v>
      </c>
      <c r="I656" s="1" t="s">
        <v>813</v>
      </c>
      <c r="J656" s="1" t="s">
        <v>14</v>
      </c>
      <c r="L656" s="34" t="s">
        <v>1670</v>
      </c>
      <c r="M656" s="35"/>
      <c r="N656" s="35"/>
      <c r="O656" s="35"/>
      <c r="P656" s="35"/>
      <c r="Q656" s="35"/>
      <c r="R656" s="14"/>
      <c r="S656" s="14"/>
      <c r="T656" s="35"/>
      <c r="U656" s="35">
        <v>21.3</v>
      </c>
      <c r="V656" s="60" t="s">
        <v>1711</v>
      </c>
    </row>
    <row r="657" spans="1:22" ht="51" x14ac:dyDescent="0.2">
      <c r="A657" s="1" t="s">
        <v>162</v>
      </c>
      <c r="B657" s="2" t="s">
        <v>163</v>
      </c>
      <c r="C657" s="2" t="s">
        <v>164</v>
      </c>
      <c r="D657" s="2" t="s">
        <v>92</v>
      </c>
      <c r="E657" s="2">
        <v>2020</v>
      </c>
      <c r="F657" s="2" t="s">
        <v>256</v>
      </c>
      <c r="G657" s="2" t="s">
        <v>1669</v>
      </c>
      <c r="H657" s="2" t="s">
        <v>1668</v>
      </c>
      <c r="I657" s="1" t="s">
        <v>902</v>
      </c>
      <c r="J657" s="1" t="s">
        <v>14</v>
      </c>
      <c r="L657" s="34" t="s">
        <v>1670</v>
      </c>
      <c r="M657" s="35"/>
      <c r="N657" s="35"/>
      <c r="O657" s="35"/>
      <c r="P657" s="35"/>
      <c r="Q657" s="35"/>
      <c r="R657" s="14"/>
      <c r="S657" s="14"/>
      <c r="T657" s="35"/>
      <c r="U657" s="35">
        <v>22.03</v>
      </c>
      <c r="V657" s="60" t="s">
        <v>1711</v>
      </c>
    </row>
    <row r="658" spans="1:22" ht="51" x14ac:dyDescent="0.2">
      <c r="A658" s="1" t="s">
        <v>162</v>
      </c>
      <c r="B658" s="2" t="s">
        <v>163</v>
      </c>
      <c r="C658" s="2" t="s">
        <v>164</v>
      </c>
      <c r="D658" s="2" t="s">
        <v>92</v>
      </c>
      <c r="E658" s="2">
        <v>2020</v>
      </c>
      <c r="F658" s="2" t="s">
        <v>276</v>
      </c>
      <c r="G658" s="2" t="s">
        <v>1668</v>
      </c>
      <c r="H658" s="2" t="s">
        <v>1669</v>
      </c>
      <c r="I658" s="1" t="s">
        <v>14</v>
      </c>
      <c r="J658" s="1" t="s">
        <v>1024</v>
      </c>
      <c r="L658" s="34" t="s">
        <v>1670</v>
      </c>
      <c r="M658" s="35"/>
      <c r="N658" s="35"/>
      <c r="O658" s="35"/>
      <c r="P658" s="35"/>
      <c r="Q658" s="35"/>
      <c r="R658" s="14"/>
      <c r="S658" s="14"/>
      <c r="T658" s="35"/>
      <c r="U658" s="35">
        <v>16.920000000000002</v>
      </c>
      <c r="V658" s="60" t="s">
        <v>1711</v>
      </c>
    </row>
    <row r="659" spans="1:22" ht="51" x14ac:dyDescent="0.2">
      <c r="A659" s="1" t="s">
        <v>162</v>
      </c>
      <c r="B659" s="2" t="s">
        <v>163</v>
      </c>
      <c r="C659" s="2" t="s">
        <v>164</v>
      </c>
      <c r="D659" s="2" t="s">
        <v>92</v>
      </c>
      <c r="E659" s="2">
        <v>2020</v>
      </c>
      <c r="F659" s="2" t="s">
        <v>311</v>
      </c>
      <c r="G659" s="2" t="s">
        <v>1668</v>
      </c>
      <c r="H659" s="2" t="s">
        <v>1669</v>
      </c>
      <c r="I659" s="1" t="s">
        <v>14</v>
      </c>
      <c r="J659" s="1" t="s">
        <v>1213</v>
      </c>
      <c r="L659" s="34" t="s">
        <v>1670</v>
      </c>
      <c r="M659" s="35"/>
      <c r="N659" s="35"/>
      <c r="O659" s="35"/>
      <c r="P659" s="35"/>
      <c r="Q659" s="35"/>
      <c r="R659" s="14"/>
      <c r="S659" s="14"/>
      <c r="T659" s="35"/>
      <c r="U659" s="35">
        <v>18.600000000000001</v>
      </c>
      <c r="V659" s="60" t="s">
        <v>1711</v>
      </c>
    </row>
    <row r="660" spans="1:22" ht="38.25" x14ac:dyDescent="0.2">
      <c r="A660" s="1" t="s">
        <v>252</v>
      </c>
      <c r="B660" s="2" t="s">
        <v>48</v>
      </c>
      <c r="C660" s="2" t="s">
        <v>253</v>
      </c>
      <c r="D660" s="2" t="s">
        <v>239</v>
      </c>
      <c r="E660" s="2">
        <v>2020</v>
      </c>
      <c r="F660" s="2" t="s">
        <v>221</v>
      </c>
      <c r="G660" s="2" t="s">
        <v>1667</v>
      </c>
      <c r="H660" s="2" t="s">
        <v>1669</v>
      </c>
      <c r="I660" s="1" t="s">
        <v>14</v>
      </c>
      <c r="J660" s="1" t="s">
        <v>845</v>
      </c>
      <c r="L660" s="34">
        <v>0.03</v>
      </c>
      <c r="M660" s="35"/>
      <c r="N660" s="35">
        <v>318.39999999999998</v>
      </c>
      <c r="O660" s="35"/>
      <c r="P660" s="35"/>
      <c r="Q660" s="35"/>
      <c r="R660" s="14"/>
      <c r="S660" s="14"/>
      <c r="T660" s="35"/>
      <c r="U660" s="35"/>
      <c r="V660" s="60" t="s">
        <v>1699</v>
      </c>
    </row>
    <row r="661" spans="1:22" ht="38.25" x14ac:dyDescent="0.2">
      <c r="A661" s="1" t="s">
        <v>252</v>
      </c>
      <c r="B661" s="2" t="s">
        <v>48</v>
      </c>
      <c r="C661" s="2" t="s">
        <v>253</v>
      </c>
      <c r="D661" s="2" t="s">
        <v>239</v>
      </c>
      <c r="E661" s="2">
        <v>2020</v>
      </c>
      <c r="F661" s="2" t="s">
        <v>364</v>
      </c>
      <c r="G661" s="2" t="s">
        <v>1667</v>
      </c>
      <c r="H661" s="2" t="s">
        <v>1669</v>
      </c>
      <c r="I661" s="1" t="s">
        <v>14</v>
      </c>
      <c r="J661" s="1" t="s">
        <v>1584</v>
      </c>
      <c r="L661" s="34">
        <v>0.03</v>
      </c>
      <c r="M661" s="35"/>
      <c r="N661" s="35">
        <v>510</v>
      </c>
      <c r="O661" s="35"/>
      <c r="P661" s="35"/>
      <c r="Q661" s="35"/>
      <c r="R661" s="14"/>
      <c r="S661" s="14"/>
      <c r="T661" s="35"/>
      <c r="U661" s="35"/>
      <c r="V661" s="60" t="s">
        <v>1699</v>
      </c>
    </row>
    <row r="662" spans="1:22" ht="38.25" x14ac:dyDescent="0.2">
      <c r="A662" s="1" t="s">
        <v>9</v>
      </c>
      <c r="B662" s="2" t="s">
        <v>10</v>
      </c>
      <c r="C662" s="2" t="s">
        <v>11</v>
      </c>
      <c r="D662" s="2" t="s">
        <v>12</v>
      </c>
      <c r="E662" s="2">
        <v>2020</v>
      </c>
      <c r="F662" s="2" t="s">
        <v>13</v>
      </c>
      <c r="G662" s="2" t="s">
        <v>1667</v>
      </c>
      <c r="H662" s="2" t="s">
        <v>1669</v>
      </c>
      <c r="I662" s="1" t="s">
        <v>14</v>
      </c>
      <c r="J662" s="1" t="s">
        <v>204</v>
      </c>
      <c r="L662" s="34"/>
      <c r="M662" s="35"/>
      <c r="N662" s="35"/>
      <c r="O662" s="35"/>
      <c r="P662" s="35"/>
      <c r="Q662" s="35"/>
      <c r="R662" s="47"/>
      <c r="S662" s="35"/>
      <c r="T662" s="35"/>
      <c r="U662" s="35"/>
      <c r="V662" s="60" t="s">
        <v>1735</v>
      </c>
    </row>
    <row r="663" spans="1:22" ht="38.25" x14ac:dyDescent="0.2">
      <c r="A663" s="1" t="s">
        <v>9</v>
      </c>
      <c r="B663" s="2" t="s">
        <v>10</v>
      </c>
      <c r="C663" s="2" t="s">
        <v>11</v>
      </c>
      <c r="D663" s="2" t="s">
        <v>12</v>
      </c>
      <c r="E663" s="2">
        <v>2020</v>
      </c>
      <c r="F663" s="2" t="s">
        <v>188</v>
      </c>
      <c r="G663" s="2" t="s">
        <v>1667</v>
      </c>
      <c r="H663" s="2" t="s">
        <v>1669</v>
      </c>
      <c r="I663" s="1" t="s">
        <v>14</v>
      </c>
      <c r="J663" s="1" t="s">
        <v>189</v>
      </c>
      <c r="L663" s="34"/>
      <c r="M663" s="35"/>
      <c r="N663" s="35"/>
      <c r="O663" s="35"/>
      <c r="P663" s="35"/>
      <c r="Q663" s="35"/>
      <c r="R663" s="48"/>
      <c r="S663" s="35"/>
      <c r="T663" s="35"/>
      <c r="U663" s="35"/>
      <c r="V663" s="60" t="s">
        <v>1735</v>
      </c>
    </row>
    <row r="664" spans="1:22" ht="38.25" x14ac:dyDescent="0.2">
      <c r="A664" s="1" t="s">
        <v>9</v>
      </c>
      <c r="B664" s="2" t="s">
        <v>10</v>
      </c>
      <c r="C664" s="2" t="s">
        <v>11</v>
      </c>
      <c r="D664" s="2" t="s">
        <v>12</v>
      </c>
      <c r="E664" s="2">
        <v>2020</v>
      </c>
      <c r="F664" s="2" t="s">
        <v>203</v>
      </c>
      <c r="G664" s="2" t="s">
        <v>1667</v>
      </c>
      <c r="H664" s="2" t="s">
        <v>1669</v>
      </c>
      <c r="I664" s="1" t="s">
        <v>14</v>
      </c>
      <c r="J664" s="1" t="s">
        <v>204</v>
      </c>
      <c r="L664" s="34"/>
      <c r="M664" s="35"/>
      <c r="N664" s="35"/>
      <c r="O664" s="35"/>
      <c r="P664" s="35"/>
      <c r="Q664" s="35"/>
      <c r="R664" s="48"/>
      <c r="S664" s="35"/>
      <c r="T664" s="35"/>
      <c r="U664" s="35"/>
      <c r="V664" s="60" t="s">
        <v>1735</v>
      </c>
    </row>
    <row r="665" spans="1:22" ht="38.25" x14ac:dyDescent="0.2">
      <c r="A665" s="1" t="s">
        <v>9</v>
      </c>
      <c r="B665" s="2" t="s">
        <v>10</v>
      </c>
      <c r="C665" s="2" t="s">
        <v>11</v>
      </c>
      <c r="D665" s="2" t="s">
        <v>12</v>
      </c>
      <c r="E665" s="2">
        <v>2020</v>
      </c>
      <c r="F665" s="2" t="s">
        <v>211</v>
      </c>
      <c r="G665" s="2" t="s">
        <v>1667</v>
      </c>
      <c r="H665" s="2" t="s">
        <v>1669</v>
      </c>
      <c r="I665" s="1" t="s">
        <v>14</v>
      </c>
      <c r="J665" s="1" t="s">
        <v>257</v>
      </c>
      <c r="L665" s="34"/>
      <c r="M665" s="35"/>
      <c r="N665" s="35"/>
      <c r="O665" s="35"/>
      <c r="P665" s="35"/>
      <c r="Q665" s="35"/>
      <c r="R665" s="48"/>
      <c r="S665" s="35"/>
      <c r="T665" s="35"/>
      <c r="U665" s="35"/>
      <c r="V665" s="60" t="s">
        <v>1735</v>
      </c>
    </row>
    <row r="666" spans="1:22" ht="38.25" x14ac:dyDescent="0.2">
      <c r="A666" s="1" t="s">
        <v>9</v>
      </c>
      <c r="B666" s="2" t="s">
        <v>10</v>
      </c>
      <c r="C666" s="2" t="s">
        <v>11</v>
      </c>
      <c r="D666" s="2" t="s">
        <v>12</v>
      </c>
      <c r="E666" s="2">
        <v>2020</v>
      </c>
      <c r="F666" s="2" t="s">
        <v>221</v>
      </c>
      <c r="G666" s="2" t="s">
        <v>1667</v>
      </c>
      <c r="H666" s="2" t="s">
        <v>1669</v>
      </c>
      <c r="I666" s="1" t="s">
        <v>14</v>
      </c>
      <c r="J666" s="1" t="s">
        <v>204</v>
      </c>
      <c r="L666" s="34"/>
      <c r="M666" s="35"/>
      <c r="N666" s="35"/>
      <c r="O666" s="35"/>
      <c r="P666" s="35"/>
      <c r="Q666" s="35"/>
      <c r="R666" s="48"/>
      <c r="S666" s="35"/>
      <c r="T666" s="35"/>
      <c r="U666" s="35"/>
      <c r="V666" s="60" t="s">
        <v>1735</v>
      </c>
    </row>
    <row r="667" spans="1:22" ht="38.25" x14ac:dyDescent="0.2">
      <c r="A667" s="1" t="s">
        <v>9</v>
      </c>
      <c r="B667" s="2" t="s">
        <v>10</v>
      </c>
      <c r="C667" s="2" t="s">
        <v>11</v>
      </c>
      <c r="D667" s="2" t="s">
        <v>12</v>
      </c>
      <c r="E667" s="2">
        <v>2020</v>
      </c>
      <c r="F667" s="2" t="s">
        <v>256</v>
      </c>
      <c r="G667" s="2" t="s">
        <v>1667</v>
      </c>
      <c r="H667" s="2" t="s">
        <v>1669</v>
      </c>
      <c r="I667" s="1" t="s">
        <v>14</v>
      </c>
      <c r="J667" s="1" t="s">
        <v>881</v>
      </c>
      <c r="L667" s="34"/>
      <c r="M667" s="35"/>
      <c r="N667" s="35"/>
      <c r="O667" s="35"/>
      <c r="P667" s="35"/>
      <c r="Q667" s="35"/>
      <c r="R667" s="48"/>
      <c r="S667" s="14"/>
      <c r="T667" s="35"/>
      <c r="U667" s="35"/>
      <c r="V667" s="60" t="s">
        <v>1735</v>
      </c>
    </row>
    <row r="668" spans="1:22" ht="38.25" x14ac:dyDescent="0.2">
      <c r="A668" s="1" t="s">
        <v>9</v>
      </c>
      <c r="B668" s="2" t="s">
        <v>10</v>
      </c>
      <c r="C668" s="2" t="s">
        <v>11</v>
      </c>
      <c r="D668" s="2" t="s">
        <v>12</v>
      </c>
      <c r="E668" s="2">
        <v>2020</v>
      </c>
      <c r="F668" s="2" t="s">
        <v>276</v>
      </c>
      <c r="G668" s="2" t="s">
        <v>1667</v>
      </c>
      <c r="H668" s="2" t="s">
        <v>1669</v>
      </c>
      <c r="I668" s="1" t="s">
        <v>14</v>
      </c>
      <c r="J668" s="1" t="s">
        <v>1046</v>
      </c>
      <c r="L668" s="34"/>
      <c r="M668" s="35"/>
      <c r="N668" s="35"/>
      <c r="O668" s="35"/>
      <c r="P668" s="35"/>
      <c r="Q668" s="35"/>
      <c r="R668" s="48"/>
      <c r="S668" s="14"/>
      <c r="T668" s="35"/>
      <c r="U668" s="35"/>
      <c r="V668" s="60" t="s">
        <v>1735</v>
      </c>
    </row>
    <row r="669" spans="1:22" ht="38.25" x14ac:dyDescent="0.2">
      <c r="A669" s="1" t="s">
        <v>9</v>
      </c>
      <c r="B669" s="2" t="s">
        <v>10</v>
      </c>
      <c r="C669" s="2" t="s">
        <v>11</v>
      </c>
      <c r="D669" s="2" t="s">
        <v>12</v>
      </c>
      <c r="E669" s="2">
        <v>2020</v>
      </c>
      <c r="F669" s="2" t="s">
        <v>291</v>
      </c>
      <c r="G669" s="2" t="s">
        <v>1667</v>
      </c>
      <c r="H669" s="2" t="s">
        <v>1669</v>
      </c>
      <c r="I669" s="1" t="s">
        <v>14</v>
      </c>
      <c r="J669" s="1" t="s">
        <v>204</v>
      </c>
      <c r="L669" s="34"/>
      <c r="M669" s="35"/>
      <c r="N669" s="35"/>
      <c r="O669" s="35"/>
      <c r="P669" s="35"/>
      <c r="Q669" s="35"/>
      <c r="R669" s="48"/>
      <c r="S669" s="14"/>
      <c r="T669" s="35"/>
      <c r="U669" s="35"/>
      <c r="V669" s="60" t="s">
        <v>1735</v>
      </c>
    </row>
    <row r="670" spans="1:22" ht="38.25" x14ac:dyDescent="0.2">
      <c r="A670" s="1" t="s">
        <v>9</v>
      </c>
      <c r="B670" s="2" t="s">
        <v>10</v>
      </c>
      <c r="C670" s="2" t="s">
        <v>11</v>
      </c>
      <c r="D670" s="2" t="s">
        <v>12</v>
      </c>
      <c r="E670" s="2">
        <v>2020</v>
      </c>
      <c r="F670" s="2" t="s">
        <v>311</v>
      </c>
      <c r="G670" s="2" t="s">
        <v>1667</v>
      </c>
      <c r="H670" s="2" t="s">
        <v>1669</v>
      </c>
      <c r="I670" s="1" t="s">
        <v>14</v>
      </c>
      <c r="J670" s="1" t="s">
        <v>189</v>
      </c>
      <c r="L670" s="34"/>
      <c r="M670" s="35"/>
      <c r="N670" s="35"/>
      <c r="O670" s="35"/>
      <c r="P670" s="35"/>
      <c r="Q670" s="35"/>
      <c r="R670" s="48"/>
      <c r="S670" s="14"/>
      <c r="T670" s="35"/>
      <c r="U670" s="35"/>
      <c r="V670" s="60" t="s">
        <v>1735</v>
      </c>
    </row>
    <row r="671" spans="1:22" ht="38.25" x14ac:dyDescent="0.2">
      <c r="A671" s="1" t="s">
        <v>9</v>
      </c>
      <c r="B671" s="2" t="s">
        <v>10</v>
      </c>
      <c r="C671" s="2" t="s">
        <v>11</v>
      </c>
      <c r="D671" s="2" t="s">
        <v>12</v>
      </c>
      <c r="E671" s="2">
        <v>2020</v>
      </c>
      <c r="F671" s="2" t="s">
        <v>337</v>
      </c>
      <c r="G671" s="2" t="s">
        <v>1667</v>
      </c>
      <c r="H671" s="2" t="s">
        <v>1669</v>
      </c>
      <c r="I671" s="1" t="s">
        <v>14</v>
      </c>
      <c r="J671" s="1" t="s">
        <v>204</v>
      </c>
      <c r="L671" s="34"/>
      <c r="M671" s="35"/>
      <c r="N671" s="35"/>
      <c r="O671" s="35"/>
      <c r="P671" s="35"/>
      <c r="Q671" s="35"/>
      <c r="R671" s="48"/>
      <c r="S671" s="14"/>
      <c r="T671" s="35"/>
      <c r="U671" s="35"/>
      <c r="V671" s="60" t="s">
        <v>1735</v>
      </c>
    </row>
    <row r="672" spans="1:22" ht="38.25" x14ac:dyDescent="0.2">
      <c r="A672" s="1" t="s">
        <v>9</v>
      </c>
      <c r="B672" s="2" t="s">
        <v>10</v>
      </c>
      <c r="C672" s="2" t="s">
        <v>11</v>
      </c>
      <c r="D672" s="2" t="s">
        <v>12</v>
      </c>
      <c r="E672" s="2">
        <v>2020</v>
      </c>
      <c r="F672" s="2" t="s">
        <v>364</v>
      </c>
      <c r="G672" s="2" t="s">
        <v>1667</v>
      </c>
      <c r="H672" s="2" t="s">
        <v>1669</v>
      </c>
      <c r="I672" s="1" t="s">
        <v>14</v>
      </c>
      <c r="J672" s="1" t="s">
        <v>189</v>
      </c>
      <c r="L672" s="34"/>
      <c r="M672" s="35"/>
      <c r="N672" s="35"/>
      <c r="O672" s="35"/>
      <c r="P672" s="35"/>
      <c r="Q672" s="35"/>
      <c r="R672" s="48"/>
      <c r="S672" s="14"/>
      <c r="T672" s="35"/>
      <c r="U672" s="35"/>
      <c r="V672" s="60" t="s">
        <v>1735</v>
      </c>
    </row>
    <row r="673" spans="1:22" ht="38.25" x14ac:dyDescent="0.2">
      <c r="A673" s="1" t="s">
        <v>9</v>
      </c>
      <c r="B673" s="2" t="s">
        <v>10</v>
      </c>
      <c r="C673" s="2" t="s">
        <v>11</v>
      </c>
      <c r="D673" s="2" t="s">
        <v>12</v>
      </c>
      <c r="E673" s="2">
        <v>2020</v>
      </c>
      <c r="F673" s="2" t="s">
        <v>388</v>
      </c>
      <c r="G673" s="2" t="s">
        <v>1667</v>
      </c>
      <c r="H673" s="2" t="s">
        <v>1669</v>
      </c>
      <c r="I673" s="1" t="s">
        <v>14</v>
      </c>
      <c r="J673" s="1" t="s">
        <v>257</v>
      </c>
      <c r="L673" s="34"/>
      <c r="M673" s="35"/>
      <c r="N673" s="35"/>
      <c r="O673" s="35"/>
      <c r="P673" s="35"/>
      <c r="Q673" s="35"/>
      <c r="R673" s="47"/>
      <c r="S673" s="35"/>
      <c r="T673" s="35"/>
      <c r="U673" s="35"/>
      <c r="V673" s="60" t="s">
        <v>1735</v>
      </c>
    </row>
    <row r="674" spans="1:22" ht="102" x14ac:dyDescent="0.2">
      <c r="A674" s="1" t="s">
        <v>227</v>
      </c>
      <c r="B674" s="2" t="s">
        <v>228</v>
      </c>
      <c r="C674" s="2" t="s">
        <v>229</v>
      </c>
      <c r="D674" s="2" t="s">
        <v>230</v>
      </c>
      <c r="E674" s="2">
        <v>2020</v>
      </c>
      <c r="F674" s="2" t="s">
        <v>221</v>
      </c>
      <c r="G674" s="2" t="s">
        <v>1669</v>
      </c>
      <c r="H674" s="2" t="s">
        <v>1669</v>
      </c>
      <c r="I674" s="1" t="s">
        <v>814</v>
      </c>
      <c r="J674" s="1" t="s">
        <v>815</v>
      </c>
      <c r="L674" s="34"/>
      <c r="M674" s="35"/>
      <c r="N674" s="35"/>
      <c r="O674" s="35"/>
      <c r="P674" s="35"/>
      <c r="Q674" s="35"/>
      <c r="R674" s="14"/>
      <c r="S674" s="14"/>
      <c r="T674" s="35"/>
      <c r="U674" s="35"/>
      <c r="V674" s="60" t="s">
        <v>1712</v>
      </c>
    </row>
    <row r="675" spans="1:22" ht="38.25" x14ac:dyDescent="0.2">
      <c r="A675" s="1" t="s">
        <v>185</v>
      </c>
      <c r="B675" s="2" t="s">
        <v>38</v>
      </c>
      <c r="C675" s="2" t="s">
        <v>186</v>
      </c>
      <c r="D675" s="2" t="s">
        <v>187</v>
      </c>
      <c r="E675" s="2">
        <v>2020</v>
      </c>
      <c r="F675" s="2" t="s">
        <v>13</v>
      </c>
      <c r="G675" s="2" t="s">
        <v>1667</v>
      </c>
      <c r="H675" s="2" t="s">
        <v>1669</v>
      </c>
      <c r="I675" s="1" t="s">
        <v>14</v>
      </c>
      <c r="J675" s="1" t="s">
        <v>495</v>
      </c>
      <c r="L675" s="5"/>
      <c r="M675" s="35"/>
      <c r="N675" s="35"/>
      <c r="O675" s="35"/>
      <c r="P675" s="35"/>
      <c r="Q675" s="35"/>
      <c r="R675" s="35"/>
      <c r="S675" s="35"/>
      <c r="T675" s="35"/>
      <c r="U675" s="35"/>
      <c r="V675" s="60" t="s">
        <v>1695</v>
      </c>
    </row>
    <row r="676" spans="1:22" ht="38.25" x14ac:dyDescent="0.2">
      <c r="A676" s="1" t="s">
        <v>185</v>
      </c>
      <c r="B676" s="2" t="s">
        <v>38</v>
      </c>
      <c r="C676" s="2" t="s">
        <v>186</v>
      </c>
      <c r="D676" s="2" t="s">
        <v>187</v>
      </c>
      <c r="E676" s="2">
        <v>2020</v>
      </c>
      <c r="F676" s="2" t="s">
        <v>188</v>
      </c>
      <c r="G676" s="2" t="s">
        <v>1667</v>
      </c>
      <c r="H676" s="2" t="s">
        <v>1669</v>
      </c>
      <c r="I676" s="1" t="s">
        <v>14</v>
      </c>
      <c r="J676" s="1" t="s">
        <v>552</v>
      </c>
      <c r="L676" s="34"/>
      <c r="M676" s="35"/>
      <c r="N676" s="35"/>
      <c r="O676" s="35"/>
      <c r="P676" s="35"/>
      <c r="Q676" s="35"/>
      <c r="R676" s="35"/>
      <c r="S676" s="35"/>
      <c r="T676" s="35"/>
      <c r="U676" s="35"/>
      <c r="V676" s="60" t="s">
        <v>1695</v>
      </c>
    </row>
    <row r="677" spans="1:22" ht="38.25" x14ac:dyDescent="0.2">
      <c r="A677" s="1" t="s">
        <v>185</v>
      </c>
      <c r="B677" s="2" t="s">
        <v>38</v>
      </c>
      <c r="C677" s="2" t="s">
        <v>186</v>
      </c>
      <c r="D677" s="2" t="s">
        <v>187</v>
      </c>
      <c r="E677" s="2">
        <v>2020</v>
      </c>
      <c r="F677" s="2" t="s">
        <v>211</v>
      </c>
      <c r="G677" s="2" t="s">
        <v>1667</v>
      </c>
      <c r="H677" s="2" t="s">
        <v>1669</v>
      </c>
      <c r="I677" s="1" t="s">
        <v>14</v>
      </c>
      <c r="J677" s="1" t="s">
        <v>749</v>
      </c>
      <c r="L677" s="34"/>
      <c r="M677" s="35"/>
      <c r="N677" s="35"/>
      <c r="O677" s="35"/>
      <c r="P677" s="35"/>
      <c r="Q677" s="35"/>
      <c r="R677" s="14"/>
      <c r="S677" s="35"/>
      <c r="T677" s="35"/>
      <c r="U677" s="35"/>
      <c r="V677" s="60" t="s">
        <v>1695</v>
      </c>
    </row>
    <row r="678" spans="1:22" ht="38.25" x14ac:dyDescent="0.2">
      <c r="A678" s="1" t="s">
        <v>185</v>
      </c>
      <c r="B678" s="2" t="s">
        <v>38</v>
      </c>
      <c r="C678" s="2" t="s">
        <v>186</v>
      </c>
      <c r="D678" s="2" t="s">
        <v>187</v>
      </c>
      <c r="E678" s="2">
        <v>2020</v>
      </c>
      <c r="F678" s="2" t="s">
        <v>256</v>
      </c>
      <c r="G678" s="2" t="s">
        <v>1667</v>
      </c>
      <c r="H678" s="2" t="s">
        <v>1669</v>
      </c>
      <c r="I678" s="1" t="s">
        <v>14</v>
      </c>
      <c r="J678" s="1" t="s">
        <v>937</v>
      </c>
      <c r="L678" s="34"/>
      <c r="M678" s="35"/>
      <c r="N678" s="35"/>
      <c r="O678" s="35"/>
      <c r="P678" s="35"/>
      <c r="Q678" s="35"/>
      <c r="R678" s="14"/>
      <c r="S678" s="14"/>
      <c r="T678" s="35"/>
      <c r="U678" s="35"/>
      <c r="V678" s="60" t="s">
        <v>1695</v>
      </c>
    </row>
    <row r="679" spans="1:22" ht="38.25" x14ac:dyDescent="0.2">
      <c r="A679" s="1" t="s">
        <v>185</v>
      </c>
      <c r="B679" s="2" t="s">
        <v>38</v>
      </c>
      <c r="C679" s="2" t="s">
        <v>186</v>
      </c>
      <c r="D679" s="2" t="s">
        <v>187</v>
      </c>
      <c r="E679" s="2">
        <v>2020</v>
      </c>
      <c r="F679" s="2" t="s">
        <v>276</v>
      </c>
      <c r="G679" s="2" t="s">
        <v>1667</v>
      </c>
      <c r="H679" s="2" t="s">
        <v>1669</v>
      </c>
      <c r="I679" s="1" t="s">
        <v>14</v>
      </c>
      <c r="J679" s="1" t="s">
        <v>968</v>
      </c>
      <c r="L679" s="34"/>
      <c r="M679" s="35"/>
      <c r="N679" s="35"/>
      <c r="O679" s="35"/>
      <c r="P679" s="35"/>
      <c r="Q679" s="35"/>
      <c r="R679" s="14"/>
      <c r="S679" s="14"/>
      <c r="T679" s="35"/>
      <c r="U679" s="35"/>
      <c r="V679" s="60" t="s">
        <v>1695</v>
      </c>
    </row>
    <row r="680" spans="1:22" ht="38.25" x14ac:dyDescent="0.2">
      <c r="A680" s="1" t="s">
        <v>185</v>
      </c>
      <c r="B680" s="2" t="s">
        <v>38</v>
      </c>
      <c r="C680" s="2" t="s">
        <v>186</v>
      </c>
      <c r="D680" s="2" t="s">
        <v>187</v>
      </c>
      <c r="E680" s="2">
        <v>2020</v>
      </c>
      <c r="F680" s="2" t="s">
        <v>291</v>
      </c>
      <c r="G680" s="2" t="s">
        <v>1667</v>
      </c>
      <c r="H680" s="2" t="s">
        <v>1669</v>
      </c>
      <c r="I680" s="1" t="s">
        <v>14</v>
      </c>
      <c r="J680" s="1" t="s">
        <v>1145</v>
      </c>
      <c r="L680" s="34"/>
      <c r="M680" s="35"/>
      <c r="N680" s="35"/>
      <c r="O680" s="35"/>
      <c r="P680" s="35"/>
      <c r="Q680" s="35"/>
      <c r="R680" s="14"/>
      <c r="S680" s="14"/>
      <c r="T680" s="35"/>
      <c r="U680" s="35"/>
      <c r="V680" s="60" t="s">
        <v>1695</v>
      </c>
    </row>
    <row r="681" spans="1:22" ht="25.5" x14ac:dyDescent="0.2">
      <c r="A681" s="1" t="s">
        <v>137</v>
      </c>
      <c r="B681" s="2" t="s">
        <v>29</v>
      </c>
      <c r="C681" s="2" t="s">
        <v>138</v>
      </c>
      <c r="D681" s="2" t="s">
        <v>33</v>
      </c>
      <c r="E681" s="2">
        <v>2020</v>
      </c>
      <c r="F681" s="2" t="s">
        <v>13</v>
      </c>
      <c r="G681" s="2" t="s">
        <v>1667</v>
      </c>
      <c r="H681" s="2" t="s">
        <v>1669</v>
      </c>
      <c r="I681" s="1" t="s">
        <v>14</v>
      </c>
      <c r="J681" s="1" t="s">
        <v>502</v>
      </c>
      <c r="L681" s="34">
        <v>0.224</v>
      </c>
      <c r="M681" s="35"/>
      <c r="N681" s="35">
        <v>32.32</v>
      </c>
      <c r="O681" s="35"/>
      <c r="P681" s="35"/>
      <c r="Q681" s="35"/>
      <c r="R681" s="35"/>
      <c r="S681" s="35"/>
      <c r="T681" s="35"/>
      <c r="U681" s="35"/>
    </row>
    <row r="682" spans="1:22" ht="38.25" x14ac:dyDescent="0.2">
      <c r="A682" s="1" t="s">
        <v>137</v>
      </c>
      <c r="B682" s="2" t="s">
        <v>29</v>
      </c>
      <c r="C682" s="2" t="s">
        <v>138</v>
      </c>
      <c r="D682" s="2" t="s">
        <v>33</v>
      </c>
      <c r="E682" s="2">
        <v>2020</v>
      </c>
      <c r="F682" s="2" t="s">
        <v>188</v>
      </c>
      <c r="G682" s="2" t="s">
        <v>1667</v>
      </c>
      <c r="H682" s="2" t="s">
        <v>1669</v>
      </c>
      <c r="I682" s="1" t="s">
        <v>14</v>
      </c>
      <c r="J682" s="1" t="s">
        <v>588</v>
      </c>
      <c r="L682" s="34">
        <v>0.23</v>
      </c>
      <c r="M682" s="35"/>
      <c r="N682" s="35">
        <v>16.41</v>
      </c>
      <c r="O682" s="35"/>
      <c r="P682" s="35"/>
      <c r="Q682" s="35"/>
      <c r="R682" s="14"/>
      <c r="S682" s="35"/>
      <c r="T682" s="35"/>
      <c r="U682" s="35"/>
    </row>
    <row r="683" spans="1:22" ht="38.25" x14ac:dyDescent="0.2">
      <c r="A683" s="1" t="s">
        <v>137</v>
      </c>
      <c r="B683" s="2" t="s">
        <v>29</v>
      </c>
      <c r="C683" s="2" t="s">
        <v>138</v>
      </c>
      <c r="D683" s="2" t="s">
        <v>33</v>
      </c>
      <c r="E683" s="2">
        <v>2020</v>
      </c>
      <c r="F683" s="2" t="s">
        <v>203</v>
      </c>
      <c r="G683" s="2" t="s">
        <v>1667</v>
      </c>
      <c r="H683" s="2" t="s">
        <v>1669</v>
      </c>
      <c r="I683" s="1" t="s">
        <v>14</v>
      </c>
      <c r="J683" s="1" t="s">
        <v>621</v>
      </c>
      <c r="L683" s="34">
        <v>0.23599999999999999</v>
      </c>
      <c r="N683" s="35">
        <v>24.84</v>
      </c>
      <c r="O683" s="35"/>
      <c r="P683" s="35"/>
      <c r="Q683" s="35"/>
      <c r="R683" s="14"/>
      <c r="S683" s="35"/>
      <c r="T683" s="35"/>
      <c r="U683" s="35"/>
    </row>
    <row r="684" spans="1:22" ht="51" x14ac:dyDescent="0.2">
      <c r="A684" s="1" t="s">
        <v>137</v>
      </c>
      <c r="B684" s="2" t="s">
        <v>29</v>
      </c>
      <c r="C684" s="2" t="s">
        <v>138</v>
      </c>
      <c r="D684" s="2" t="s">
        <v>33</v>
      </c>
      <c r="E684" s="2">
        <v>2020</v>
      </c>
      <c r="F684" s="2" t="s">
        <v>211</v>
      </c>
      <c r="G684" s="2" t="s">
        <v>1667</v>
      </c>
      <c r="H684" s="2" t="s">
        <v>1669</v>
      </c>
      <c r="I684" s="1" t="s">
        <v>14</v>
      </c>
      <c r="J684" s="1" t="s">
        <v>725</v>
      </c>
      <c r="L684" s="34">
        <v>0.27</v>
      </c>
      <c r="M684" s="35"/>
      <c r="N684" s="35">
        <v>17.350000000000001</v>
      </c>
      <c r="O684" s="35"/>
      <c r="P684" s="35"/>
      <c r="Q684" s="35"/>
      <c r="R684" s="14"/>
      <c r="S684" s="35"/>
      <c r="T684" s="35"/>
      <c r="U684" s="35"/>
    </row>
    <row r="685" spans="1:22" ht="38.25" x14ac:dyDescent="0.2">
      <c r="A685" s="1" t="s">
        <v>137</v>
      </c>
      <c r="B685" s="2" t="s">
        <v>29</v>
      </c>
      <c r="C685" s="2" t="s">
        <v>138</v>
      </c>
      <c r="D685" s="2" t="s">
        <v>33</v>
      </c>
      <c r="E685" s="2">
        <v>2020</v>
      </c>
      <c r="F685" s="2" t="s">
        <v>221</v>
      </c>
      <c r="G685" s="2" t="s">
        <v>1667</v>
      </c>
      <c r="H685" s="2" t="s">
        <v>1669</v>
      </c>
      <c r="I685" s="1" t="s">
        <v>14</v>
      </c>
      <c r="J685" s="1" t="s">
        <v>848</v>
      </c>
      <c r="L685" s="34">
        <v>0.25600000000000001</v>
      </c>
      <c r="M685" s="35"/>
      <c r="N685" s="35">
        <v>143.75</v>
      </c>
      <c r="O685" s="35"/>
      <c r="P685" s="35"/>
      <c r="Q685" s="35"/>
      <c r="R685" s="14"/>
      <c r="S685" s="14"/>
      <c r="T685" s="35"/>
      <c r="U685" s="35"/>
    </row>
    <row r="686" spans="1:22" ht="38.25" x14ac:dyDescent="0.2">
      <c r="A686" s="1" t="s">
        <v>137</v>
      </c>
      <c r="B686" s="2" t="s">
        <v>29</v>
      </c>
      <c r="C686" s="2" t="s">
        <v>138</v>
      </c>
      <c r="D686" s="2" t="s">
        <v>33</v>
      </c>
      <c r="E686" s="2">
        <v>2020</v>
      </c>
      <c r="F686" s="2" t="s">
        <v>256</v>
      </c>
      <c r="G686" s="2" t="s">
        <v>1667</v>
      </c>
      <c r="H686" s="2" t="s">
        <v>1669</v>
      </c>
      <c r="I686" s="1" t="s">
        <v>14</v>
      </c>
      <c r="J686" s="1" t="s">
        <v>877</v>
      </c>
      <c r="L686" s="34">
        <v>0.27</v>
      </c>
      <c r="M686" s="35"/>
      <c r="N686" s="35">
        <v>141.69999999999999</v>
      </c>
      <c r="O686" s="35"/>
      <c r="P686" s="35"/>
      <c r="Q686" s="35"/>
      <c r="R686" s="14"/>
      <c r="S686" s="14"/>
      <c r="T686" s="35"/>
      <c r="U686" s="35"/>
    </row>
    <row r="687" spans="1:22" ht="38.25" x14ac:dyDescent="0.2">
      <c r="A687" s="1" t="s">
        <v>137</v>
      </c>
      <c r="B687" s="2" t="s">
        <v>29</v>
      </c>
      <c r="C687" s="2" t="s">
        <v>138</v>
      </c>
      <c r="D687" s="2" t="s">
        <v>33</v>
      </c>
      <c r="E687" s="2">
        <v>2020</v>
      </c>
      <c r="F687" s="2" t="s">
        <v>276</v>
      </c>
      <c r="G687" s="2" t="s">
        <v>1667</v>
      </c>
      <c r="H687" s="2" t="s">
        <v>1669</v>
      </c>
      <c r="I687" s="1" t="s">
        <v>14</v>
      </c>
      <c r="J687" s="1" t="s">
        <v>965</v>
      </c>
      <c r="L687" s="34">
        <v>0.245</v>
      </c>
      <c r="M687" s="35"/>
      <c r="N687" s="35">
        <v>146.86000000000001</v>
      </c>
      <c r="O687" s="35"/>
      <c r="P687" s="35"/>
      <c r="Q687" s="35"/>
      <c r="R687" s="14"/>
      <c r="S687" s="14"/>
      <c r="T687" s="35"/>
      <c r="U687" s="35"/>
    </row>
    <row r="688" spans="1:22" ht="51" x14ac:dyDescent="0.2">
      <c r="A688" s="1" t="s">
        <v>137</v>
      </c>
      <c r="B688" s="2" t="s">
        <v>29</v>
      </c>
      <c r="C688" s="2" t="s">
        <v>138</v>
      </c>
      <c r="D688" s="2" t="s">
        <v>33</v>
      </c>
      <c r="E688" s="2">
        <v>2020</v>
      </c>
      <c r="F688" s="2" t="s">
        <v>291</v>
      </c>
      <c r="G688" s="2" t="s">
        <v>1667</v>
      </c>
      <c r="H688" s="2" t="s">
        <v>1669</v>
      </c>
      <c r="I688" s="1" t="s">
        <v>14</v>
      </c>
      <c r="J688" s="1" t="s">
        <v>1142</v>
      </c>
      <c r="L688" s="34">
        <v>0.26200000000000001</v>
      </c>
      <c r="M688" s="35"/>
      <c r="N688" s="35">
        <v>89.53</v>
      </c>
      <c r="O688" s="35"/>
      <c r="P688" s="35"/>
      <c r="Q688" s="35"/>
      <c r="R688" s="14"/>
      <c r="S688" s="14"/>
      <c r="T688" s="35"/>
      <c r="U688" s="35"/>
    </row>
    <row r="689" spans="1:22" ht="38.25" x14ac:dyDescent="0.2">
      <c r="A689" s="1" t="s">
        <v>137</v>
      </c>
      <c r="B689" s="2" t="s">
        <v>29</v>
      </c>
      <c r="C689" s="2" t="s">
        <v>138</v>
      </c>
      <c r="D689" s="2" t="s">
        <v>33</v>
      </c>
      <c r="E689" s="2">
        <v>2020</v>
      </c>
      <c r="F689" s="2" t="s">
        <v>311</v>
      </c>
      <c r="G689" s="2" t="s">
        <v>1667</v>
      </c>
      <c r="H689" s="2" t="s">
        <v>1669</v>
      </c>
      <c r="I689" s="1" t="s">
        <v>14</v>
      </c>
      <c r="J689" s="1" t="s">
        <v>1266</v>
      </c>
      <c r="L689" s="34">
        <v>0.26500000000000001</v>
      </c>
      <c r="M689" s="35"/>
      <c r="N689" s="35">
        <v>105.69</v>
      </c>
      <c r="O689" s="35"/>
      <c r="P689" s="35"/>
      <c r="Q689" s="35"/>
      <c r="R689" s="14"/>
      <c r="S689" s="14"/>
      <c r="T689" s="35"/>
      <c r="U689" s="35"/>
    </row>
    <row r="690" spans="1:22" ht="38.25" x14ac:dyDescent="0.2">
      <c r="A690" s="1" t="s">
        <v>137</v>
      </c>
      <c r="B690" s="2" t="s">
        <v>29</v>
      </c>
      <c r="C690" s="2" t="s">
        <v>138</v>
      </c>
      <c r="D690" s="2" t="s">
        <v>33</v>
      </c>
      <c r="E690" s="2">
        <v>2020</v>
      </c>
      <c r="F690" s="2" t="s">
        <v>337</v>
      </c>
      <c r="G690" s="2" t="s">
        <v>1667</v>
      </c>
      <c r="H690" s="2" t="s">
        <v>1669</v>
      </c>
      <c r="I690" s="1" t="s">
        <v>14</v>
      </c>
      <c r="J690" s="1" t="s">
        <v>1457</v>
      </c>
      <c r="L690" s="34">
        <v>0.26</v>
      </c>
      <c r="M690" s="35"/>
      <c r="N690" s="35">
        <v>117.45</v>
      </c>
      <c r="O690" s="35"/>
      <c r="P690" s="35"/>
      <c r="Q690" s="35"/>
      <c r="R690" s="14"/>
      <c r="S690" s="14"/>
      <c r="T690" s="35"/>
      <c r="U690" s="35"/>
    </row>
    <row r="691" spans="1:22" ht="38.25" x14ac:dyDescent="0.2">
      <c r="A691" s="1" t="s">
        <v>137</v>
      </c>
      <c r="B691" s="2" t="s">
        <v>29</v>
      </c>
      <c r="C691" s="2" t="s">
        <v>138</v>
      </c>
      <c r="D691" s="2" t="s">
        <v>33</v>
      </c>
      <c r="E691" s="2">
        <v>2020</v>
      </c>
      <c r="F691" s="2" t="s">
        <v>364</v>
      </c>
      <c r="G691" s="2" t="s">
        <v>1667</v>
      </c>
      <c r="H691" s="2" t="s">
        <v>1669</v>
      </c>
      <c r="I691" s="1" t="s">
        <v>14</v>
      </c>
      <c r="J691" s="1" t="s">
        <v>1485</v>
      </c>
      <c r="L691" s="34">
        <v>0.255</v>
      </c>
      <c r="M691" s="35"/>
      <c r="N691" s="35">
        <v>71.23</v>
      </c>
      <c r="O691" s="35"/>
      <c r="P691" s="35"/>
      <c r="Q691" s="35"/>
      <c r="R691" s="14"/>
      <c r="S691" s="14"/>
      <c r="T691" s="35"/>
      <c r="U691" s="35"/>
    </row>
    <row r="692" spans="1:22" ht="50.25" customHeight="1" x14ac:dyDescent="0.2">
      <c r="A692" s="1" t="s">
        <v>137</v>
      </c>
      <c r="B692" s="2" t="s">
        <v>29</v>
      </c>
      <c r="C692" s="2" t="s">
        <v>138</v>
      </c>
      <c r="D692" s="2" t="s">
        <v>33</v>
      </c>
      <c r="E692" s="2">
        <v>2020</v>
      </c>
      <c r="F692" s="2" t="s">
        <v>388</v>
      </c>
      <c r="G692" s="2" t="s">
        <v>1667</v>
      </c>
      <c r="H692" s="2" t="s">
        <v>1669</v>
      </c>
      <c r="I692" s="1" t="s">
        <v>14</v>
      </c>
      <c r="J692" s="1" t="s">
        <v>3077</v>
      </c>
      <c r="L692" s="34">
        <v>0.28299999999999997</v>
      </c>
      <c r="M692" s="35"/>
      <c r="N692" s="35">
        <v>33.9</v>
      </c>
      <c r="O692" s="35"/>
      <c r="P692" s="35"/>
      <c r="Q692" s="35"/>
      <c r="R692" s="35"/>
      <c r="S692" s="35"/>
      <c r="T692" s="35"/>
      <c r="U692" s="35"/>
    </row>
    <row r="693" spans="1:22" ht="38.25" x14ac:dyDescent="0.2">
      <c r="A693" s="1" t="s">
        <v>349</v>
      </c>
      <c r="B693" s="2" t="s">
        <v>271</v>
      </c>
      <c r="C693" s="2" t="s">
        <v>350</v>
      </c>
      <c r="D693" s="2" t="s">
        <v>46</v>
      </c>
      <c r="E693" s="2">
        <v>2020</v>
      </c>
      <c r="F693" s="2" t="s">
        <v>364</v>
      </c>
      <c r="G693" s="2" t="s">
        <v>1669</v>
      </c>
      <c r="H693" s="2" t="s">
        <v>1668</v>
      </c>
      <c r="I693" s="1" t="s">
        <v>1545</v>
      </c>
      <c r="J693" s="1" t="s">
        <v>14</v>
      </c>
      <c r="L693" s="34">
        <v>0.03</v>
      </c>
      <c r="M693" s="35"/>
      <c r="N693" s="35"/>
      <c r="O693" s="35"/>
      <c r="P693" s="35"/>
      <c r="Q693" s="35"/>
      <c r="R693" s="14"/>
      <c r="S693" s="14"/>
      <c r="T693" s="35"/>
      <c r="U693" s="35">
        <v>3500</v>
      </c>
      <c r="V693" s="60" t="s">
        <v>1699</v>
      </c>
    </row>
    <row r="694" spans="1:22" ht="38.25" x14ac:dyDescent="0.2">
      <c r="A694" s="1" t="s">
        <v>400</v>
      </c>
      <c r="B694" s="2" t="s">
        <v>32</v>
      </c>
      <c r="C694" s="2" t="s">
        <v>350</v>
      </c>
      <c r="D694" s="2" t="s">
        <v>46</v>
      </c>
      <c r="E694" s="2">
        <v>2020</v>
      </c>
      <c r="F694" s="2" t="s">
        <v>256</v>
      </c>
      <c r="G694" s="2" t="s">
        <v>1667</v>
      </c>
      <c r="H694" s="2" t="s">
        <v>1669</v>
      </c>
      <c r="I694" s="1" t="s">
        <v>14</v>
      </c>
      <c r="J694" s="1" t="s">
        <v>896</v>
      </c>
      <c r="L694" s="34">
        <v>0.03</v>
      </c>
      <c r="M694" s="35"/>
      <c r="N694" s="35"/>
      <c r="O694" s="35"/>
      <c r="P694" s="35"/>
      <c r="Q694" s="35"/>
      <c r="R694" s="14"/>
      <c r="S694" s="14"/>
      <c r="T694" s="35"/>
      <c r="U694" s="35">
        <v>15</v>
      </c>
      <c r="V694" s="60" t="s">
        <v>1699</v>
      </c>
    </row>
    <row r="695" spans="1:22" ht="38.25" x14ac:dyDescent="0.2">
      <c r="A695" s="1" t="s">
        <v>400</v>
      </c>
      <c r="B695" s="2" t="s">
        <v>32</v>
      </c>
      <c r="C695" s="2" t="s">
        <v>350</v>
      </c>
      <c r="D695" s="2" t="s">
        <v>46</v>
      </c>
      <c r="E695" s="2">
        <v>2020</v>
      </c>
      <c r="F695" s="2" t="s">
        <v>337</v>
      </c>
      <c r="G695" s="2" t="s">
        <v>1667</v>
      </c>
      <c r="H695" s="2" t="s">
        <v>1669</v>
      </c>
      <c r="I695" s="1" t="s">
        <v>14</v>
      </c>
      <c r="J695" s="1" t="s">
        <v>1395</v>
      </c>
      <c r="L695" s="34">
        <v>0.03</v>
      </c>
      <c r="M695" s="35"/>
      <c r="N695" s="35"/>
      <c r="O695" s="35"/>
      <c r="P695" s="35"/>
      <c r="Q695" s="35"/>
      <c r="R695" s="14"/>
      <c r="S695" s="14"/>
      <c r="T695" s="35"/>
      <c r="U695" s="35">
        <v>12</v>
      </c>
      <c r="V695" s="60" t="s">
        <v>1699</v>
      </c>
    </row>
    <row r="696" spans="1:22" ht="63.75" x14ac:dyDescent="0.2">
      <c r="A696" s="1" t="s">
        <v>1460</v>
      </c>
      <c r="B696" s="2" t="s">
        <v>264</v>
      </c>
      <c r="C696" s="2" t="s">
        <v>1461</v>
      </c>
      <c r="D696" s="2" t="s">
        <v>333</v>
      </c>
      <c r="E696" s="2">
        <v>2020</v>
      </c>
      <c r="F696" s="2" t="s">
        <v>337</v>
      </c>
      <c r="G696" s="2" t="s">
        <v>1669</v>
      </c>
      <c r="H696" s="2" t="s">
        <v>1669</v>
      </c>
      <c r="I696" s="1" t="s">
        <v>1462</v>
      </c>
      <c r="J696" s="1" t="s">
        <v>1463</v>
      </c>
      <c r="L696" s="34" t="s">
        <v>1670</v>
      </c>
      <c r="M696" s="35"/>
      <c r="N696" s="35"/>
      <c r="O696" s="35"/>
      <c r="P696" s="35"/>
      <c r="Q696" s="35"/>
      <c r="R696" s="14"/>
      <c r="S696" s="14"/>
      <c r="T696" s="35"/>
      <c r="U696" s="35">
        <f>12.87+9.8</f>
        <v>22.67</v>
      </c>
      <c r="V696" s="60" t="s">
        <v>1682</v>
      </c>
    </row>
    <row r="697" spans="1:22" ht="153" x14ac:dyDescent="0.2">
      <c r="A697" s="1" t="s">
        <v>796</v>
      </c>
      <c r="B697" s="2" t="s">
        <v>343</v>
      </c>
      <c r="C697" s="2" t="s">
        <v>374</v>
      </c>
      <c r="D697" s="2" t="s">
        <v>187</v>
      </c>
      <c r="E697" s="2">
        <v>2020</v>
      </c>
      <c r="F697" s="2" t="s">
        <v>221</v>
      </c>
      <c r="G697" s="2" t="s">
        <v>1669</v>
      </c>
      <c r="H697" s="2" t="s">
        <v>1669</v>
      </c>
      <c r="I697" s="1" t="s">
        <v>797</v>
      </c>
      <c r="J697" s="1" t="s">
        <v>798</v>
      </c>
      <c r="L697" s="5"/>
      <c r="M697" s="35"/>
      <c r="N697" s="35"/>
      <c r="O697" s="35"/>
      <c r="P697" s="35"/>
      <c r="Q697" s="35"/>
      <c r="R697" s="6"/>
      <c r="S697" s="35"/>
      <c r="T697" s="35"/>
      <c r="U697" s="35"/>
      <c r="V697" s="60" t="s">
        <v>1738</v>
      </c>
    </row>
    <row r="698" spans="1:22" ht="38.25" x14ac:dyDescent="0.2">
      <c r="A698" s="1" t="s">
        <v>62</v>
      </c>
      <c r="B698" s="2" t="s">
        <v>38</v>
      </c>
      <c r="C698" s="2" t="s">
        <v>63</v>
      </c>
      <c r="D698" s="2" t="s">
        <v>64</v>
      </c>
      <c r="E698" s="2">
        <v>2020</v>
      </c>
      <c r="F698" s="2" t="s">
        <v>13</v>
      </c>
      <c r="G698" s="2" t="s">
        <v>1667</v>
      </c>
      <c r="H698" s="2" t="s">
        <v>1669</v>
      </c>
      <c r="I698" s="1" t="s">
        <v>14</v>
      </c>
      <c r="J698" s="1" t="s">
        <v>496</v>
      </c>
      <c r="L698" s="34">
        <v>0.23</v>
      </c>
      <c r="M698" s="35"/>
      <c r="N698" s="35">
        <v>61.93</v>
      </c>
      <c r="O698" s="35"/>
      <c r="P698" s="35"/>
      <c r="Q698" s="35"/>
      <c r="R698" s="35"/>
      <c r="S698" s="35"/>
      <c r="T698" s="35"/>
      <c r="U698" s="35"/>
    </row>
    <row r="699" spans="1:22" ht="38.25" x14ac:dyDescent="0.2">
      <c r="A699" s="1" t="s">
        <v>62</v>
      </c>
      <c r="B699" s="2" t="s">
        <v>38</v>
      </c>
      <c r="C699" s="2" t="s">
        <v>63</v>
      </c>
      <c r="D699" s="2" t="s">
        <v>64</v>
      </c>
      <c r="E699" s="2">
        <v>2020</v>
      </c>
      <c r="F699" s="2" t="s">
        <v>188</v>
      </c>
      <c r="G699" s="2" t="s">
        <v>1667</v>
      </c>
      <c r="H699" s="2" t="s">
        <v>1669</v>
      </c>
      <c r="I699" s="1" t="s">
        <v>14</v>
      </c>
      <c r="J699" s="1" t="s">
        <v>563</v>
      </c>
      <c r="L699" s="34">
        <v>0.23</v>
      </c>
      <c r="M699" s="35"/>
      <c r="N699" s="35">
        <v>18.84</v>
      </c>
      <c r="O699" s="35"/>
      <c r="P699" s="35"/>
      <c r="Q699" s="35"/>
      <c r="R699" s="35"/>
      <c r="S699" s="35"/>
      <c r="T699" s="35"/>
      <c r="U699" s="35"/>
    </row>
    <row r="700" spans="1:22" ht="38.25" x14ac:dyDescent="0.2">
      <c r="A700" s="1" t="s">
        <v>62</v>
      </c>
      <c r="B700" s="2" t="s">
        <v>38</v>
      </c>
      <c r="C700" s="2" t="s">
        <v>63</v>
      </c>
      <c r="D700" s="2" t="s">
        <v>64</v>
      </c>
      <c r="E700" s="2">
        <v>2020</v>
      </c>
      <c r="F700" s="2" t="s">
        <v>203</v>
      </c>
      <c r="G700" s="2" t="s">
        <v>1667</v>
      </c>
      <c r="H700" s="2" t="s">
        <v>1669</v>
      </c>
      <c r="I700" s="1" t="s">
        <v>14</v>
      </c>
      <c r="J700" s="1" t="s">
        <v>617</v>
      </c>
      <c r="L700" s="34">
        <v>0.24</v>
      </c>
      <c r="M700" s="35"/>
      <c r="N700" s="35">
        <v>94.54</v>
      </c>
      <c r="O700" s="35"/>
      <c r="P700" s="35"/>
      <c r="Q700" s="35"/>
      <c r="R700" s="14"/>
      <c r="S700" s="35"/>
      <c r="T700" s="35"/>
      <c r="U700" s="35"/>
    </row>
    <row r="701" spans="1:22" ht="38.25" x14ac:dyDescent="0.2">
      <c r="A701" s="1" t="s">
        <v>62</v>
      </c>
      <c r="B701" s="2" t="s">
        <v>38</v>
      </c>
      <c r="C701" s="2" t="s">
        <v>63</v>
      </c>
      <c r="D701" s="2" t="s">
        <v>64</v>
      </c>
      <c r="E701" s="2">
        <v>2020</v>
      </c>
      <c r="F701" s="2" t="s">
        <v>211</v>
      </c>
      <c r="G701" s="2" t="s">
        <v>1667</v>
      </c>
      <c r="H701" s="2" t="s">
        <v>1669</v>
      </c>
      <c r="I701" s="1" t="s">
        <v>14</v>
      </c>
      <c r="J701" s="1" t="s">
        <v>703</v>
      </c>
      <c r="L701" s="34">
        <v>0.25</v>
      </c>
      <c r="M701" s="35"/>
      <c r="N701" s="35">
        <v>48.06</v>
      </c>
      <c r="O701" s="35"/>
      <c r="P701" s="35"/>
      <c r="Q701" s="35"/>
      <c r="R701" s="14"/>
      <c r="S701" s="35"/>
      <c r="T701" s="35"/>
      <c r="U701" s="35"/>
    </row>
    <row r="702" spans="1:22" ht="38.25" x14ac:dyDescent="0.2">
      <c r="A702" s="1" t="s">
        <v>62</v>
      </c>
      <c r="B702" s="2" t="s">
        <v>38</v>
      </c>
      <c r="C702" s="2" t="s">
        <v>63</v>
      </c>
      <c r="D702" s="2" t="s">
        <v>64</v>
      </c>
      <c r="E702" s="2">
        <v>2020</v>
      </c>
      <c r="F702" s="2" t="s">
        <v>221</v>
      </c>
      <c r="G702" s="2" t="s">
        <v>1667</v>
      </c>
      <c r="H702" s="2" t="s">
        <v>1669</v>
      </c>
      <c r="I702" s="1" t="s">
        <v>14</v>
      </c>
      <c r="J702" s="1" t="s">
        <v>770</v>
      </c>
      <c r="L702" s="34">
        <v>0.24</v>
      </c>
      <c r="M702" s="35"/>
      <c r="N702" s="35">
        <v>65.37</v>
      </c>
      <c r="O702" s="35"/>
      <c r="P702" s="35"/>
      <c r="Q702" s="35"/>
      <c r="R702" s="14"/>
      <c r="S702" s="35"/>
      <c r="T702" s="35"/>
      <c r="U702" s="35"/>
    </row>
    <row r="703" spans="1:22" ht="38.25" x14ac:dyDescent="0.2">
      <c r="A703" s="1" t="s">
        <v>62</v>
      </c>
      <c r="B703" s="2" t="s">
        <v>38</v>
      </c>
      <c r="C703" s="2" t="s">
        <v>63</v>
      </c>
      <c r="D703" s="2" t="s">
        <v>64</v>
      </c>
      <c r="E703" s="2">
        <v>2020</v>
      </c>
      <c r="F703" s="2" t="s">
        <v>256</v>
      </c>
      <c r="G703" s="2" t="s">
        <v>1667</v>
      </c>
      <c r="H703" s="2" t="s">
        <v>1669</v>
      </c>
      <c r="I703" s="1" t="s">
        <v>14</v>
      </c>
      <c r="J703" s="1" t="s">
        <v>893</v>
      </c>
      <c r="L703" s="34">
        <v>0.21</v>
      </c>
      <c r="M703" s="35"/>
      <c r="N703" s="35">
        <v>26.28</v>
      </c>
      <c r="O703" s="35"/>
      <c r="P703" s="35"/>
      <c r="Q703" s="35"/>
      <c r="R703" s="14"/>
      <c r="S703" s="14"/>
      <c r="T703" s="35"/>
      <c r="U703" s="35"/>
    </row>
    <row r="704" spans="1:22" ht="25.5" x14ac:dyDescent="0.2">
      <c r="A704" s="1" t="s">
        <v>62</v>
      </c>
      <c r="B704" s="2" t="s">
        <v>38</v>
      </c>
      <c r="C704" s="2" t="s">
        <v>63</v>
      </c>
      <c r="D704" s="2" t="s">
        <v>64</v>
      </c>
      <c r="E704" s="2">
        <v>2020</v>
      </c>
      <c r="F704" s="2" t="s">
        <v>276</v>
      </c>
      <c r="G704" s="2" t="s">
        <v>1667</v>
      </c>
      <c r="H704" s="2" t="s">
        <v>1669</v>
      </c>
      <c r="I704" s="1" t="s">
        <v>14</v>
      </c>
      <c r="J704" s="1" t="s">
        <v>1043</v>
      </c>
      <c r="L704" s="34">
        <v>0.22</v>
      </c>
      <c r="M704" s="35"/>
      <c r="N704" s="35">
        <v>33.47</v>
      </c>
      <c r="O704" s="35"/>
      <c r="P704" s="35"/>
      <c r="Q704" s="35"/>
      <c r="R704" s="14"/>
      <c r="S704" s="14"/>
      <c r="T704" s="35"/>
      <c r="U704" s="35"/>
    </row>
    <row r="705" spans="1:21" ht="25.5" x14ac:dyDescent="0.2">
      <c r="A705" s="1" t="s">
        <v>62</v>
      </c>
      <c r="B705" s="2" t="s">
        <v>38</v>
      </c>
      <c r="C705" s="2" t="s">
        <v>63</v>
      </c>
      <c r="D705" s="2" t="s">
        <v>64</v>
      </c>
      <c r="E705" s="2">
        <v>2020</v>
      </c>
      <c r="F705" s="2" t="s">
        <v>291</v>
      </c>
      <c r="G705" s="2" t="s">
        <v>1667</v>
      </c>
      <c r="H705" s="2" t="s">
        <v>1669</v>
      </c>
      <c r="I705" s="1" t="s">
        <v>14</v>
      </c>
      <c r="J705" s="1" t="s">
        <v>1109</v>
      </c>
      <c r="L705" s="34">
        <v>0.23</v>
      </c>
      <c r="M705" s="35"/>
      <c r="N705" s="35">
        <v>49.93</v>
      </c>
      <c r="O705" s="35"/>
      <c r="P705" s="35"/>
      <c r="Q705" s="35"/>
      <c r="R705" s="14"/>
      <c r="S705" s="14"/>
      <c r="T705" s="35"/>
      <c r="U705" s="35"/>
    </row>
    <row r="706" spans="1:21" ht="50.25" customHeight="1" x14ac:dyDescent="0.2">
      <c r="A706" s="1" t="s">
        <v>62</v>
      </c>
      <c r="B706" s="2" t="s">
        <v>38</v>
      </c>
      <c r="C706" s="2" t="s">
        <v>63</v>
      </c>
      <c r="D706" s="2" t="s">
        <v>64</v>
      </c>
      <c r="E706" s="2">
        <v>2020</v>
      </c>
      <c r="F706" s="2" t="s">
        <v>311</v>
      </c>
      <c r="G706" s="2" t="s">
        <v>1667</v>
      </c>
      <c r="H706" s="2" t="s">
        <v>1669</v>
      </c>
      <c r="I706" s="1" t="s">
        <v>14</v>
      </c>
      <c r="J706" s="1" t="s">
        <v>1298</v>
      </c>
      <c r="L706" s="34">
        <v>0.22</v>
      </c>
      <c r="M706" s="35"/>
      <c r="N706" s="35">
        <v>44.72</v>
      </c>
      <c r="O706" s="35"/>
      <c r="P706" s="35"/>
      <c r="Q706" s="35"/>
      <c r="R706" s="14"/>
      <c r="S706" s="14"/>
      <c r="T706" s="35"/>
      <c r="U706" s="35"/>
    </row>
    <row r="707" spans="1:21" ht="38.25" x14ac:dyDescent="0.2">
      <c r="A707" s="1" t="s">
        <v>62</v>
      </c>
      <c r="B707" s="2" t="s">
        <v>38</v>
      </c>
      <c r="C707" s="2" t="s">
        <v>63</v>
      </c>
      <c r="D707" s="2" t="s">
        <v>64</v>
      </c>
      <c r="E707" s="2">
        <v>2020</v>
      </c>
      <c r="F707" s="2" t="s">
        <v>337</v>
      </c>
      <c r="G707" s="2" t="s">
        <v>1667</v>
      </c>
      <c r="H707" s="2" t="s">
        <v>1669</v>
      </c>
      <c r="I707" s="1" t="s">
        <v>14</v>
      </c>
      <c r="J707" s="1" t="s">
        <v>1370</v>
      </c>
      <c r="L707" s="34">
        <v>0.22</v>
      </c>
      <c r="M707" s="35"/>
      <c r="N707" s="35">
        <v>85.89</v>
      </c>
      <c r="O707" s="35"/>
      <c r="P707" s="35"/>
      <c r="Q707" s="35"/>
      <c r="R707" s="14"/>
      <c r="S707" s="14"/>
      <c r="T707" s="35"/>
      <c r="U707" s="35"/>
    </row>
    <row r="708" spans="1:21" ht="25.5" x14ac:dyDescent="0.2">
      <c r="A708" s="1" t="s">
        <v>62</v>
      </c>
      <c r="B708" s="2" t="s">
        <v>38</v>
      </c>
      <c r="C708" s="2" t="s">
        <v>63</v>
      </c>
      <c r="D708" s="2" t="s">
        <v>64</v>
      </c>
      <c r="E708" s="2">
        <v>2020</v>
      </c>
      <c r="F708" s="2" t="s">
        <v>364</v>
      </c>
      <c r="G708" s="2" t="s">
        <v>1667</v>
      </c>
      <c r="H708" s="2" t="s">
        <v>1669</v>
      </c>
      <c r="I708" s="1" t="s">
        <v>14</v>
      </c>
      <c r="J708" s="1" t="s">
        <v>1541</v>
      </c>
      <c r="L708" s="34">
        <v>0.22</v>
      </c>
      <c r="M708" s="35"/>
      <c r="N708" s="35">
        <v>69.3</v>
      </c>
      <c r="O708" s="35"/>
      <c r="P708" s="35"/>
      <c r="Q708" s="35"/>
      <c r="R708" s="14"/>
      <c r="S708" s="14"/>
      <c r="T708" s="35"/>
      <c r="U708" s="35"/>
    </row>
    <row r="709" spans="1:21" ht="38.25" x14ac:dyDescent="0.2">
      <c r="A709" s="1" t="s">
        <v>62</v>
      </c>
      <c r="B709" s="2" t="s">
        <v>38</v>
      </c>
      <c r="C709" s="2" t="s">
        <v>63</v>
      </c>
      <c r="D709" s="2" t="s">
        <v>64</v>
      </c>
      <c r="E709" s="2">
        <v>2020</v>
      </c>
      <c r="F709" s="2" t="s">
        <v>388</v>
      </c>
      <c r="G709" s="2" t="s">
        <v>1667</v>
      </c>
      <c r="H709" s="2" t="s">
        <v>1669</v>
      </c>
      <c r="I709" s="1" t="s">
        <v>14</v>
      </c>
      <c r="J709" s="1" t="s">
        <v>1623</v>
      </c>
      <c r="L709" s="34">
        <v>0.22</v>
      </c>
      <c r="M709" s="35"/>
      <c r="N709" s="35">
        <v>86.85</v>
      </c>
      <c r="O709" s="35"/>
      <c r="P709" s="35"/>
      <c r="Q709" s="35"/>
      <c r="R709" s="35"/>
      <c r="S709" s="35"/>
      <c r="T709" s="35"/>
      <c r="U709" s="35"/>
    </row>
    <row r="710" spans="1:21" ht="38.25" x14ac:dyDescent="0.2">
      <c r="A710" s="1" t="s">
        <v>106</v>
      </c>
      <c r="B710" s="2" t="s">
        <v>38</v>
      </c>
      <c r="C710" s="2" t="s">
        <v>107</v>
      </c>
      <c r="D710" s="2" t="s">
        <v>108</v>
      </c>
      <c r="E710" s="2">
        <v>2020</v>
      </c>
      <c r="F710" s="2" t="s">
        <v>13</v>
      </c>
      <c r="G710" s="2" t="s">
        <v>1667</v>
      </c>
      <c r="H710" s="2" t="s">
        <v>1669</v>
      </c>
      <c r="I710" s="1" t="s">
        <v>14</v>
      </c>
      <c r="J710" s="1" t="s">
        <v>497</v>
      </c>
      <c r="L710" s="34">
        <v>0.25</v>
      </c>
      <c r="M710" s="35"/>
      <c r="N710" s="35">
        <v>73.69</v>
      </c>
      <c r="O710" s="35"/>
      <c r="P710" s="35"/>
      <c r="Q710" s="35"/>
      <c r="R710" s="35"/>
      <c r="S710" s="35"/>
      <c r="T710" s="35"/>
      <c r="U710" s="35"/>
    </row>
    <row r="711" spans="1:21" ht="38.25" x14ac:dyDescent="0.2">
      <c r="A711" s="1" t="s">
        <v>106</v>
      </c>
      <c r="B711" s="2" t="s">
        <v>38</v>
      </c>
      <c r="C711" s="2" t="s">
        <v>107</v>
      </c>
      <c r="D711" s="2" t="s">
        <v>108</v>
      </c>
      <c r="E711" s="2">
        <v>2020</v>
      </c>
      <c r="F711" s="2" t="s">
        <v>188</v>
      </c>
      <c r="G711" s="2" t="s">
        <v>1667</v>
      </c>
      <c r="H711" s="2" t="s">
        <v>1669</v>
      </c>
      <c r="I711" s="1" t="s">
        <v>14</v>
      </c>
      <c r="J711" s="1" t="s">
        <v>578</v>
      </c>
      <c r="L711" s="34">
        <v>0.24199999999999999</v>
      </c>
      <c r="M711" s="35"/>
      <c r="N711" s="35">
        <v>77.48</v>
      </c>
      <c r="O711" s="35"/>
      <c r="P711" s="35"/>
      <c r="Q711" s="35"/>
      <c r="R711" s="14"/>
      <c r="S711" s="35"/>
      <c r="T711" s="35"/>
      <c r="U711" s="35"/>
    </row>
    <row r="712" spans="1:21" ht="38.25" x14ac:dyDescent="0.2">
      <c r="A712" s="1" t="s">
        <v>106</v>
      </c>
      <c r="B712" s="2" t="s">
        <v>38</v>
      </c>
      <c r="C712" s="2" t="s">
        <v>107</v>
      </c>
      <c r="D712" s="2" t="s">
        <v>108</v>
      </c>
      <c r="E712" s="2">
        <v>2020</v>
      </c>
      <c r="F712" s="2" t="s">
        <v>203</v>
      </c>
      <c r="G712" s="2" t="s">
        <v>1667</v>
      </c>
      <c r="H712" s="2" t="s">
        <v>1669</v>
      </c>
      <c r="I712" s="1" t="s">
        <v>14</v>
      </c>
      <c r="J712" s="1" t="s">
        <v>625</v>
      </c>
      <c r="L712" s="34">
        <v>0.25</v>
      </c>
      <c r="M712" s="35"/>
      <c r="N712" s="35">
        <v>121.21</v>
      </c>
      <c r="O712" s="35"/>
      <c r="P712" s="35"/>
      <c r="Q712" s="35"/>
      <c r="R712" s="14"/>
      <c r="S712" s="35"/>
      <c r="T712" s="35"/>
      <c r="U712" s="35"/>
    </row>
    <row r="713" spans="1:21" ht="38.25" x14ac:dyDescent="0.2">
      <c r="A713" s="1" t="s">
        <v>106</v>
      </c>
      <c r="B713" s="2" t="s">
        <v>38</v>
      </c>
      <c r="C713" s="2" t="s">
        <v>107</v>
      </c>
      <c r="D713" s="2" t="s">
        <v>108</v>
      </c>
      <c r="E713" s="2">
        <v>2020</v>
      </c>
      <c r="F713" s="2" t="s">
        <v>211</v>
      </c>
      <c r="G713" s="2" t="s">
        <v>1667</v>
      </c>
      <c r="H713" s="2" t="s">
        <v>1669</v>
      </c>
      <c r="I713" s="1" t="s">
        <v>14</v>
      </c>
      <c r="J713" s="1" t="s">
        <v>734</v>
      </c>
      <c r="L713" s="34">
        <v>0.254</v>
      </c>
      <c r="M713" s="35"/>
      <c r="N713" s="35">
        <v>117.79</v>
      </c>
      <c r="O713" s="35"/>
      <c r="P713" s="35"/>
      <c r="Q713" s="35"/>
      <c r="R713" s="14"/>
      <c r="S713" s="35"/>
      <c r="T713" s="35"/>
      <c r="U713" s="35"/>
    </row>
    <row r="714" spans="1:21" ht="51" x14ac:dyDescent="0.2">
      <c r="A714" s="1" t="s">
        <v>106</v>
      </c>
      <c r="B714" s="2" t="s">
        <v>38</v>
      </c>
      <c r="C714" s="2" t="s">
        <v>107</v>
      </c>
      <c r="D714" s="2" t="s">
        <v>108</v>
      </c>
      <c r="E714" s="2">
        <v>2020</v>
      </c>
      <c r="F714" s="2" t="s">
        <v>221</v>
      </c>
      <c r="G714" s="2" t="s">
        <v>1667</v>
      </c>
      <c r="H714" s="2" t="s">
        <v>1669</v>
      </c>
      <c r="I714" s="1" t="s">
        <v>14</v>
      </c>
      <c r="J714" s="1" t="s">
        <v>774</v>
      </c>
      <c r="L714" s="34">
        <v>0.24</v>
      </c>
      <c r="M714" s="35"/>
      <c r="N714" s="35">
        <v>101.73</v>
      </c>
      <c r="O714" s="35"/>
      <c r="P714" s="35"/>
      <c r="Q714" s="35"/>
      <c r="R714" s="14"/>
      <c r="S714" s="35"/>
      <c r="T714" s="35"/>
      <c r="U714" s="35"/>
    </row>
    <row r="715" spans="1:21" ht="38.25" x14ac:dyDescent="0.2">
      <c r="A715" s="1" t="s">
        <v>106</v>
      </c>
      <c r="B715" s="2" t="s">
        <v>38</v>
      </c>
      <c r="C715" s="2" t="s">
        <v>107</v>
      </c>
      <c r="D715" s="2" t="s">
        <v>108</v>
      </c>
      <c r="E715" s="2">
        <v>2020</v>
      </c>
      <c r="F715" s="2" t="s">
        <v>256</v>
      </c>
      <c r="G715" s="2" t="s">
        <v>1667</v>
      </c>
      <c r="H715" s="2" t="s">
        <v>1669</v>
      </c>
      <c r="I715" s="1" t="s">
        <v>14</v>
      </c>
      <c r="J715" s="1" t="s">
        <v>932</v>
      </c>
      <c r="L715" s="34">
        <v>0.249</v>
      </c>
      <c r="M715" s="35"/>
      <c r="N715" s="35">
        <v>73.09</v>
      </c>
      <c r="O715" s="35"/>
      <c r="P715" s="35"/>
      <c r="Q715" s="35"/>
      <c r="R715" s="14"/>
      <c r="S715" s="14"/>
      <c r="T715" s="35"/>
      <c r="U715" s="35"/>
    </row>
    <row r="716" spans="1:21" ht="76.5" x14ac:dyDescent="0.2">
      <c r="A716" s="1" t="s">
        <v>106</v>
      </c>
      <c r="B716" s="2" t="s">
        <v>38</v>
      </c>
      <c r="C716" s="2" t="s">
        <v>107</v>
      </c>
      <c r="D716" s="2" t="s">
        <v>108</v>
      </c>
      <c r="E716" s="2">
        <v>2020</v>
      </c>
      <c r="F716" s="2" t="s">
        <v>276</v>
      </c>
      <c r="G716" s="2" t="s">
        <v>1667</v>
      </c>
      <c r="H716" s="2" t="s">
        <v>1669</v>
      </c>
      <c r="I716" s="1" t="s">
        <v>14</v>
      </c>
      <c r="J716" s="1" t="s">
        <v>969</v>
      </c>
      <c r="L716" s="34">
        <v>0.23699999999999999</v>
      </c>
      <c r="M716" s="35"/>
      <c r="N716" s="35">
        <v>101.56</v>
      </c>
      <c r="O716" s="35"/>
      <c r="P716" s="35"/>
      <c r="Q716" s="35"/>
      <c r="R716" s="14"/>
      <c r="S716" s="14"/>
      <c r="T716" s="35"/>
      <c r="U716" s="35"/>
    </row>
    <row r="717" spans="1:21" ht="38.25" x14ac:dyDescent="0.2">
      <c r="A717" s="1" t="s">
        <v>106</v>
      </c>
      <c r="B717" s="2" t="s">
        <v>38</v>
      </c>
      <c r="C717" s="2" t="s">
        <v>107</v>
      </c>
      <c r="D717" s="2" t="s">
        <v>108</v>
      </c>
      <c r="E717" s="2">
        <v>2020</v>
      </c>
      <c r="F717" s="2" t="s">
        <v>291</v>
      </c>
      <c r="G717" s="2" t="s">
        <v>1667</v>
      </c>
      <c r="H717" s="2" t="s">
        <v>1669</v>
      </c>
      <c r="I717" s="1" t="s">
        <v>14</v>
      </c>
      <c r="J717" s="1" t="s">
        <v>1153</v>
      </c>
      <c r="L717" s="34">
        <v>0.23599999999999999</v>
      </c>
      <c r="M717" s="35"/>
      <c r="N717" s="35">
        <v>95.5</v>
      </c>
      <c r="O717" s="35"/>
      <c r="P717" s="35"/>
      <c r="Q717" s="35"/>
      <c r="R717" s="14"/>
      <c r="S717" s="14"/>
      <c r="T717" s="35"/>
      <c r="U717" s="35"/>
    </row>
    <row r="718" spans="1:21" ht="38.25" x14ac:dyDescent="0.2">
      <c r="A718" s="1" t="s">
        <v>106</v>
      </c>
      <c r="B718" s="2" t="s">
        <v>38</v>
      </c>
      <c r="C718" s="2" t="s">
        <v>107</v>
      </c>
      <c r="D718" s="2" t="s">
        <v>108</v>
      </c>
      <c r="E718" s="2">
        <v>2020</v>
      </c>
      <c r="F718" s="2" t="s">
        <v>311</v>
      </c>
      <c r="G718" s="2" t="s">
        <v>1667</v>
      </c>
      <c r="H718" s="2" t="s">
        <v>1669</v>
      </c>
      <c r="I718" s="1" t="s">
        <v>14</v>
      </c>
      <c r="J718" s="1" t="s">
        <v>1258</v>
      </c>
      <c r="L718" s="34">
        <v>0.217</v>
      </c>
      <c r="M718" s="35"/>
      <c r="N718" s="35">
        <v>119.43</v>
      </c>
      <c r="O718" s="35"/>
      <c r="P718" s="35"/>
      <c r="Q718" s="35"/>
      <c r="R718" s="14"/>
      <c r="S718" s="14"/>
      <c r="T718" s="35"/>
      <c r="U718" s="35"/>
    </row>
    <row r="719" spans="1:21" ht="38.25" x14ac:dyDescent="0.2">
      <c r="A719" s="1" t="s">
        <v>106</v>
      </c>
      <c r="B719" s="2" t="s">
        <v>38</v>
      </c>
      <c r="C719" s="2" t="s">
        <v>107</v>
      </c>
      <c r="D719" s="2" t="s">
        <v>108</v>
      </c>
      <c r="E719" s="2">
        <v>2020</v>
      </c>
      <c r="F719" s="2" t="s">
        <v>337</v>
      </c>
      <c r="G719" s="2" t="s">
        <v>1667</v>
      </c>
      <c r="H719" s="2" t="s">
        <v>1669</v>
      </c>
      <c r="I719" s="1" t="s">
        <v>14</v>
      </c>
      <c r="J719" s="1" t="s">
        <v>1405</v>
      </c>
      <c r="L719" s="34">
        <v>0.222</v>
      </c>
      <c r="M719" s="35"/>
      <c r="N719" s="35">
        <v>93.27</v>
      </c>
      <c r="O719" s="35"/>
      <c r="P719" s="35"/>
      <c r="Q719" s="35"/>
      <c r="R719" s="14"/>
      <c r="S719" s="14"/>
      <c r="T719" s="35"/>
      <c r="U719" s="35"/>
    </row>
    <row r="720" spans="1:21" ht="38.25" x14ac:dyDescent="0.2">
      <c r="A720" s="1" t="s">
        <v>106</v>
      </c>
      <c r="B720" s="2" t="s">
        <v>38</v>
      </c>
      <c r="C720" s="2" t="s">
        <v>107</v>
      </c>
      <c r="D720" s="2" t="s">
        <v>108</v>
      </c>
      <c r="E720" s="2">
        <v>2020</v>
      </c>
      <c r="F720" s="2" t="s">
        <v>364</v>
      </c>
      <c r="G720" s="2" t="s">
        <v>1667</v>
      </c>
      <c r="H720" s="2" t="s">
        <v>1669</v>
      </c>
      <c r="I720" s="1" t="s">
        <v>14</v>
      </c>
      <c r="J720" s="1" t="s">
        <v>1524</v>
      </c>
      <c r="L720" s="34">
        <v>0.22500000000000001</v>
      </c>
      <c r="M720" s="35"/>
      <c r="N720" s="35">
        <v>69.62</v>
      </c>
      <c r="O720" s="35"/>
      <c r="P720" s="35"/>
      <c r="Q720" s="35"/>
      <c r="R720" s="14"/>
      <c r="S720" s="14"/>
      <c r="T720" s="35"/>
      <c r="U720" s="35"/>
    </row>
    <row r="721" spans="1:22" ht="63.75" x14ac:dyDescent="0.2">
      <c r="A721" s="1" t="s">
        <v>106</v>
      </c>
      <c r="B721" s="2" t="s">
        <v>38</v>
      </c>
      <c r="C721" s="2" t="s">
        <v>107</v>
      </c>
      <c r="D721" s="2" t="s">
        <v>108</v>
      </c>
      <c r="E721" s="2">
        <v>2020</v>
      </c>
      <c r="F721" s="2" t="s">
        <v>388</v>
      </c>
      <c r="G721" s="2" t="s">
        <v>1667</v>
      </c>
      <c r="H721" s="2" t="s">
        <v>1669</v>
      </c>
      <c r="I721" s="1" t="s">
        <v>14</v>
      </c>
      <c r="J721" s="1" t="s">
        <v>1635</v>
      </c>
      <c r="L721" s="34">
        <v>0.26500000000000001</v>
      </c>
      <c r="M721" s="35"/>
      <c r="N721" s="35">
        <v>74.62</v>
      </c>
      <c r="O721" s="35"/>
      <c r="P721" s="35"/>
      <c r="Q721" s="35"/>
      <c r="R721" s="35"/>
      <c r="S721" s="35"/>
      <c r="T721" s="35"/>
      <c r="U721" s="35"/>
    </row>
    <row r="722" spans="1:22" ht="76.5" x14ac:dyDescent="0.2">
      <c r="A722" s="1" t="s">
        <v>440</v>
      </c>
      <c r="B722" s="2" t="s">
        <v>264</v>
      </c>
      <c r="C722" s="2" t="s">
        <v>441</v>
      </c>
      <c r="D722" s="2" t="s">
        <v>442</v>
      </c>
      <c r="E722" s="2">
        <v>2020</v>
      </c>
      <c r="F722" s="2" t="s">
        <v>364</v>
      </c>
      <c r="G722" s="2" t="s">
        <v>1669</v>
      </c>
      <c r="H722" s="2" t="s">
        <v>1669</v>
      </c>
      <c r="I722" s="1" t="s">
        <v>1532</v>
      </c>
      <c r="J722" s="1" t="s">
        <v>1533</v>
      </c>
      <c r="L722" s="34" t="s">
        <v>1670</v>
      </c>
      <c r="M722" s="35"/>
      <c r="N722" s="35"/>
      <c r="O722" s="35"/>
      <c r="P722" s="35"/>
      <c r="Q722" s="35">
        <v>60</v>
      </c>
      <c r="R722" s="14"/>
      <c r="S722" s="14"/>
      <c r="T722" s="35"/>
      <c r="U722" s="35"/>
      <c r="V722" s="60" t="s">
        <v>1754</v>
      </c>
    </row>
    <row r="723" spans="1:22" ht="216.75" x14ac:dyDescent="0.2">
      <c r="A723" s="1" t="s">
        <v>1125</v>
      </c>
      <c r="B723" s="2" t="s">
        <v>198</v>
      </c>
      <c r="C723" s="2" t="s">
        <v>1126</v>
      </c>
      <c r="D723" s="2" t="s">
        <v>187</v>
      </c>
      <c r="E723" s="2">
        <v>2020</v>
      </c>
      <c r="F723" s="2" t="s">
        <v>291</v>
      </c>
      <c r="G723" s="2" t="s">
        <v>1669</v>
      </c>
      <c r="H723" s="2" t="s">
        <v>1669</v>
      </c>
      <c r="I723" s="1" t="s">
        <v>1127</v>
      </c>
      <c r="J723" s="1" t="s">
        <v>1128</v>
      </c>
      <c r="L723" s="34">
        <v>3.9199999999999999E-2</v>
      </c>
      <c r="N723" s="35">
        <f>127.76+263.57</f>
        <v>391.33</v>
      </c>
      <c r="O723" s="35"/>
      <c r="P723" s="35"/>
      <c r="Q723" s="35"/>
      <c r="R723" s="14"/>
      <c r="S723" s="14"/>
      <c r="T723" s="35"/>
      <c r="U723" s="35"/>
      <c r="V723" s="60" t="s">
        <v>1699</v>
      </c>
    </row>
    <row r="724" spans="1:22" ht="63.75" x14ac:dyDescent="0.2">
      <c r="A724" s="1" t="s">
        <v>1411</v>
      </c>
      <c r="B724" s="2" t="s">
        <v>198</v>
      </c>
      <c r="C724" s="2" t="s">
        <v>1412</v>
      </c>
      <c r="D724" s="2" t="s">
        <v>77</v>
      </c>
      <c r="E724" s="2">
        <v>2020</v>
      </c>
      <c r="F724" s="2" t="s">
        <v>337</v>
      </c>
      <c r="G724" s="2" t="s">
        <v>1669</v>
      </c>
      <c r="H724" s="2" t="s">
        <v>1669</v>
      </c>
      <c r="I724" s="1" t="s">
        <v>1413</v>
      </c>
      <c r="J724" s="1" t="s">
        <v>1414</v>
      </c>
      <c r="L724" s="34">
        <v>5.9299999999999999E-2</v>
      </c>
      <c r="M724" s="35"/>
      <c r="N724" s="35">
        <v>1304.82</v>
      </c>
      <c r="O724" s="35"/>
      <c r="P724" s="35"/>
      <c r="Q724" s="35"/>
      <c r="R724" s="14"/>
      <c r="S724" s="14"/>
      <c r="T724" s="35"/>
      <c r="U724" s="35"/>
      <c r="V724" s="60" t="s">
        <v>1699</v>
      </c>
    </row>
    <row r="725" spans="1:22" ht="63.75" x14ac:dyDescent="0.2">
      <c r="A725" s="1" t="s">
        <v>292</v>
      </c>
      <c r="B725" s="2" t="s">
        <v>262</v>
      </c>
      <c r="C725" s="2" t="s">
        <v>293</v>
      </c>
      <c r="D725" s="2" t="s">
        <v>173</v>
      </c>
      <c r="E725" s="2">
        <v>2020</v>
      </c>
      <c r="F725" s="2" t="s">
        <v>364</v>
      </c>
      <c r="G725" s="2" t="s">
        <v>1669</v>
      </c>
      <c r="H725" s="2" t="s">
        <v>1669</v>
      </c>
      <c r="I725" s="1" t="s">
        <v>1491</v>
      </c>
      <c r="J725" s="1" t="s">
        <v>1492</v>
      </c>
      <c r="L725" s="34" t="s">
        <v>1670</v>
      </c>
      <c r="M725" s="35">
        <v>76.069999999999993</v>
      </c>
      <c r="N725" s="35"/>
      <c r="O725" s="35"/>
      <c r="P725" s="35"/>
      <c r="Q725" s="35"/>
      <c r="R725" s="14"/>
      <c r="S725" s="14"/>
      <c r="T725" s="35"/>
      <c r="U725" s="35"/>
      <c r="V725" s="60" t="s">
        <v>1757</v>
      </c>
    </row>
    <row r="726" spans="1:22" ht="25.5" x14ac:dyDescent="0.2">
      <c r="A726" s="1" t="s">
        <v>461</v>
      </c>
      <c r="B726" s="2" t="s">
        <v>302</v>
      </c>
      <c r="C726" s="2" t="s">
        <v>462</v>
      </c>
      <c r="D726" s="2" t="s">
        <v>346</v>
      </c>
      <c r="E726" s="2">
        <v>2020</v>
      </c>
      <c r="F726" s="2" t="s">
        <v>364</v>
      </c>
      <c r="G726" s="2" t="s">
        <v>1669</v>
      </c>
      <c r="H726" s="2" t="s">
        <v>1668</v>
      </c>
      <c r="I726" s="1" t="s">
        <v>1578</v>
      </c>
      <c r="J726" s="1" t="s">
        <v>14</v>
      </c>
      <c r="L726" s="34" t="s">
        <v>1670</v>
      </c>
      <c r="M726" s="35"/>
      <c r="N726" s="35"/>
      <c r="O726" s="35"/>
      <c r="P726" s="35"/>
      <c r="Q726" s="35"/>
      <c r="R726" s="14"/>
      <c r="S726" s="14"/>
      <c r="T726" s="35"/>
      <c r="U726" s="35"/>
      <c r="V726" s="60" t="s">
        <v>1683</v>
      </c>
    </row>
    <row r="727" spans="1:22" ht="51" x14ac:dyDescent="0.2">
      <c r="A727" s="1" t="s">
        <v>104</v>
      </c>
      <c r="B727" s="2" t="s">
        <v>10</v>
      </c>
      <c r="C727" s="2" t="s">
        <v>105</v>
      </c>
      <c r="D727" s="2" t="s">
        <v>36</v>
      </c>
      <c r="E727" s="2">
        <v>2020</v>
      </c>
      <c r="F727" s="2" t="s">
        <v>13</v>
      </c>
      <c r="G727" s="2" t="s">
        <v>1667</v>
      </c>
      <c r="H727" s="2" t="s">
        <v>1669</v>
      </c>
      <c r="I727" s="1" t="s">
        <v>14</v>
      </c>
      <c r="J727" s="1" t="s">
        <v>546</v>
      </c>
      <c r="L727" s="34"/>
      <c r="M727" s="35"/>
      <c r="N727" s="35"/>
      <c r="O727" s="35"/>
      <c r="P727" s="35"/>
      <c r="Q727" s="35"/>
      <c r="R727" s="35"/>
      <c r="S727" s="35"/>
      <c r="T727" s="35"/>
      <c r="U727" s="35"/>
      <c r="V727" s="60" t="s">
        <v>1735</v>
      </c>
    </row>
    <row r="728" spans="1:22" ht="51" x14ac:dyDescent="0.2">
      <c r="A728" s="1" t="s">
        <v>104</v>
      </c>
      <c r="B728" s="2" t="s">
        <v>10</v>
      </c>
      <c r="C728" s="2" t="s">
        <v>105</v>
      </c>
      <c r="D728" s="2" t="s">
        <v>36</v>
      </c>
      <c r="E728" s="2">
        <v>2020</v>
      </c>
      <c r="F728" s="2" t="s">
        <v>188</v>
      </c>
      <c r="G728" s="2" t="s">
        <v>1667</v>
      </c>
      <c r="H728" s="2" t="s">
        <v>1669</v>
      </c>
      <c r="I728" s="1" t="s">
        <v>14</v>
      </c>
      <c r="J728" s="1" t="s">
        <v>599</v>
      </c>
      <c r="L728" s="34"/>
      <c r="M728" s="35"/>
      <c r="N728" s="35"/>
      <c r="O728" s="35"/>
      <c r="P728" s="35"/>
      <c r="Q728" s="35"/>
      <c r="S728" s="35"/>
      <c r="T728" s="35"/>
      <c r="U728" s="35"/>
      <c r="V728" s="60" t="s">
        <v>1735</v>
      </c>
    </row>
    <row r="729" spans="1:22" ht="51" x14ac:dyDescent="0.2">
      <c r="A729" s="1" t="s">
        <v>104</v>
      </c>
      <c r="B729" s="2" t="s">
        <v>10</v>
      </c>
      <c r="C729" s="2" t="s">
        <v>105</v>
      </c>
      <c r="D729" s="2" t="s">
        <v>36</v>
      </c>
      <c r="E729" s="2">
        <v>2020</v>
      </c>
      <c r="F729" s="2" t="s">
        <v>203</v>
      </c>
      <c r="G729" s="2" t="s">
        <v>1667</v>
      </c>
      <c r="H729" s="2" t="s">
        <v>1669</v>
      </c>
      <c r="I729" s="1" t="s">
        <v>14</v>
      </c>
      <c r="J729" s="1" t="s">
        <v>480</v>
      </c>
      <c r="L729" s="34"/>
      <c r="M729" s="35"/>
      <c r="N729" s="35"/>
      <c r="O729" s="35"/>
      <c r="P729" s="35"/>
      <c r="Q729" s="35"/>
      <c r="S729" s="35"/>
      <c r="T729" s="35"/>
      <c r="U729" s="35"/>
      <c r="V729" s="60" t="s">
        <v>1735</v>
      </c>
    </row>
    <row r="730" spans="1:22" ht="51" x14ac:dyDescent="0.2">
      <c r="A730" s="1" t="s">
        <v>104</v>
      </c>
      <c r="B730" s="2" t="s">
        <v>10</v>
      </c>
      <c r="C730" s="2" t="s">
        <v>105</v>
      </c>
      <c r="D730" s="2" t="s">
        <v>36</v>
      </c>
      <c r="E730" s="2">
        <v>2020</v>
      </c>
      <c r="F730" s="2" t="s">
        <v>211</v>
      </c>
      <c r="G730" s="2" t="s">
        <v>1667</v>
      </c>
      <c r="H730" s="2" t="s">
        <v>1669</v>
      </c>
      <c r="I730" s="1" t="s">
        <v>14</v>
      </c>
      <c r="J730" s="1" t="s">
        <v>480</v>
      </c>
      <c r="L730" s="34"/>
      <c r="M730" s="35"/>
      <c r="N730" s="35"/>
      <c r="O730" s="35"/>
      <c r="P730" s="35"/>
      <c r="Q730" s="35"/>
      <c r="S730" s="35"/>
      <c r="T730" s="35"/>
      <c r="U730" s="35"/>
      <c r="V730" s="60" t="s">
        <v>1735</v>
      </c>
    </row>
    <row r="731" spans="1:22" ht="51" x14ac:dyDescent="0.2">
      <c r="A731" s="1" t="s">
        <v>104</v>
      </c>
      <c r="B731" s="2" t="s">
        <v>10</v>
      </c>
      <c r="C731" s="2" t="s">
        <v>105</v>
      </c>
      <c r="D731" s="2" t="s">
        <v>36</v>
      </c>
      <c r="E731" s="2">
        <v>2020</v>
      </c>
      <c r="F731" s="2" t="s">
        <v>221</v>
      </c>
      <c r="G731" s="2" t="s">
        <v>1667</v>
      </c>
      <c r="H731" s="2" t="s">
        <v>1669</v>
      </c>
      <c r="I731" s="1" t="s">
        <v>14</v>
      </c>
      <c r="J731" s="1" t="s">
        <v>765</v>
      </c>
      <c r="L731" s="34"/>
      <c r="M731" s="35"/>
      <c r="N731" s="35"/>
      <c r="O731" s="35"/>
      <c r="P731" s="35"/>
      <c r="Q731" s="35"/>
      <c r="S731" s="35"/>
      <c r="T731" s="35"/>
      <c r="U731" s="35"/>
      <c r="V731" s="60" t="s">
        <v>1735</v>
      </c>
    </row>
    <row r="732" spans="1:22" ht="51" x14ac:dyDescent="0.2">
      <c r="A732" s="1" t="s">
        <v>104</v>
      </c>
      <c r="B732" s="2" t="s">
        <v>10</v>
      </c>
      <c r="C732" s="2" t="s">
        <v>105</v>
      </c>
      <c r="D732" s="2" t="s">
        <v>36</v>
      </c>
      <c r="E732" s="2">
        <v>2020</v>
      </c>
      <c r="F732" s="2" t="s">
        <v>256</v>
      </c>
      <c r="G732" s="2" t="s">
        <v>1667</v>
      </c>
      <c r="H732" s="2" t="s">
        <v>1669</v>
      </c>
      <c r="I732" s="1" t="s">
        <v>14</v>
      </c>
      <c r="J732" s="1" t="s">
        <v>952</v>
      </c>
      <c r="L732" s="34"/>
      <c r="M732" s="35"/>
      <c r="N732" s="35"/>
      <c r="O732" s="35"/>
      <c r="P732" s="35"/>
      <c r="Q732" s="35"/>
      <c r="S732" s="14"/>
      <c r="T732" s="35"/>
      <c r="U732" s="35"/>
      <c r="V732" s="60" t="s">
        <v>1735</v>
      </c>
    </row>
    <row r="733" spans="1:22" ht="51" x14ac:dyDescent="0.2">
      <c r="A733" s="1" t="s">
        <v>104</v>
      </c>
      <c r="B733" s="2" t="s">
        <v>10</v>
      </c>
      <c r="C733" s="2" t="s">
        <v>105</v>
      </c>
      <c r="D733" s="2" t="s">
        <v>36</v>
      </c>
      <c r="E733" s="2">
        <v>2020</v>
      </c>
      <c r="F733" s="2" t="s">
        <v>276</v>
      </c>
      <c r="G733" s="2" t="s">
        <v>1667</v>
      </c>
      <c r="H733" s="2" t="s">
        <v>1669</v>
      </c>
      <c r="I733" s="1" t="s">
        <v>14</v>
      </c>
      <c r="J733" s="1" t="s">
        <v>458</v>
      </c>
      <c r="L733" s="34"/>
      <c r="M733" s="35"/>
      <c r="N733" s="35"/>
      <c r="O733" s="35"/>
      <c r="P733" s="35"/>
      <c r="Q733" s="35"/>
      <c r="S733" s="14"/>
      <c r="T733" s="35"/>
      <c r="U733" s="35"/>
      <c r="V733" s="60" t="s">
        <v>1735</v>
      </c>
    </row>
    <row r="734" spans="1:22" ht="51" x14ac:dyDescent="0.2">
      <c r="A734" s="1" t="s">
        <v>104</v>
      </c>
      <c r="B734" s="2" t="s">
        <v>10</v>
      </c>
      <c r="C734" s="2" t="s">
        <v>105</v>
      </c>
      <c r="D734" s="2" t="s">
        <v>36</v>
      </c>
      <c r="E734" s="2">
        <v>2020</v>
      </c>
      <c r="F734" s="2" t="s">
        <v>291</v>
      </c>
      <c r="G734" s="2" t="s">
        <v>1667</v>
      </c>
      <c r="H734" s="2" t="s">
        <v>1669</v>
      </c>
      <c r="I734" s="1" t="s">
        <v>14</v>
      </c>
      <c r="J734" s="1" t="s">
        <v>1107</v>
      </c>
      <c r="L734" s="34"/>
      <c r="M734" s="35"/>
      <c r="N734" s="35"/>
      <c r="O734" s="35"/>
      <c r="P734" s="35"/>
      <c r="Q734" s="35"/>
      <c r="S734" s="14"/>
      <c r="T734" s="35"/>
      <c r="U734" s="35"/>
      <c r="V734" s="60" t="s">
        <v>1735</v>
      </c>
    </row>
    <row r="735" spans="1:22" ht="51" x14ac:dyDescent="0.2">
      <c r="A735" s="1" t="s">
        <v>104</v>
      </c>
      <c r="B735" s="2" t="s">
        <v>10</v>
      </c>
      <c r="C735" s="2" t="s">
        <v>105</v>
      </c>
      <c r="D735" s="2" t="s">
        <v>36</v>
      </c>
      <c r="E735" s="2">
        <v>2020</v>
      </c>
      <c r="F735" s="2" t="s">
        <v>311</v>
      </c>
      <c r="G735" s="2" t="s">
        <v>1667</v>
      </c>
      <c r="H735" s="2" t="s">
        <v>1669</v>
      </c>
      <c r="I735" s="1" t="s">
        <v>14</v>
      </c>
      <c r="J735" s="1" t="s">
        <v>599</v>
      </c>
      <c r="L735" s="34"/>
      <c r="M735" s="35"/>
      <c r="N735" s="35"/>
      <c r="O735" s="35"/>
      <c r="P735" s="35"/>
      <c r="Q735" s="35"/>
      <c r="S735" s="14"/>
      <c r="T735" s="35"/>
      <c r="U735" s="35"/>
      <c r="V735" s="60" t="s">
        <v>1735</v>
      </c>
    </row>
    <row r="736" spans="1:22" ht="51" x14ac:dyDescent="0.2">
      <c r="A736" s="1" t="s">
        <v>104</v>
      </c>
      <c r="B736" s="2" t="s">
        <v>10</v>
      </c>
      <c r="C736" s="2" t="s">
        <v>105</v>
      </c>
      <c r="D736" s="2" t="s">
        <v>36</v>
      </c>
      <c r="E736" s="2">
        <v>2020</v>
      </c>
      <c r="F736" s="2" t="s">
        <v>337</v>
      </c>
      <c r="G736" s="2" t="s">
        <v>1667</v>
      </c>
      <c r="H736" s="2" t="s">
        <v>1669</v>
      </c>
      <c r="I736" s="1" t="s">
        <v>14</v>
      </c>
      <c r="J736" s="1" t="s">
        <v>599</v>
      </c>
      <c r="L736" s="34"/>
      <c r="M736" s="35"/>
      <c r="N736" s="35"/>
      <c r="O736" s="35"/>
      <c r="P736" s="35"/>
      <c r="Q736" s="35"/>
      <c r="S736" s="14"/>
      <c r="T736" s="35"/>
      <c r="U736" s="35"/>
      <c r="V736" s="60" t="s">
        <v>1735</v>
      </c>
    </row>
    <row r="737" spans="1:22" ht="51" x14ac:dyDescent="0.2">
      <c r="A737" s="1" t="s">
        <v>104</v>
      </c>
      <c r="B737" s="2" t="s">
        <v>10</v>
      </c>
      <c r="C737" s="2" t="s">
        <v>105</v>
      </c>
      <c r="D737" s="2" t="s">
        <v>36</v>
      </c>
      <c r="E737" s="2">
        <v>2020</v>
      </c>
      <c r="F737" s="2" t="s">
        <v>364</v>
      </c>
      <c r="G737" s="2" t="s">
        <v>1667</v>
      </c>
      <c r="H737" s="2" t="s">
        <v>1669</v>
      </c>
      <c r="I737" s="1" t="s">
        <v>14</v>
      </c>
      <c r="J737" s="1" t="s">
        <v>1588</v>
      </c>
      <c r="L737" s="34"/>
      <c r="M737" s="35"/>
      <c r="N737" s="35"/>
      <c r="O737" s="35"/>
      <c r="P737" s="35"/>
      <c r="Q737" s="35"/>
      <c r="S737" s="14"/>
      <c r="T737" s="35"/>
      <c r="U737" s="35"/>
      <c r="V737" s="60" t="s">
        <v>1735</v>
      </c>
    </row>
    <row r="738" spans="1:22" ht="51" x14ac:dyDescent="0.2">
      <c r="A738" s="1" t="s">
        <v>104</v>
      </c>
      <c r="B738" s="2" t="s">
        <v>10</v>
      </c>
      <c r="C738" s="2" t="s">
        <v>105</v>
      </c>
      <c r="D738" s="2" t="s">
        <v>36</v>
      </c>
      <c r="E738" s="2">
        <v>2020</v>
      </c>
      <c r="F738" s="2" t="s">
        <v>388</v>
      </c>
      <c r="G738" s="2" t="s">
        <v>1667</v>
      </c>
      <c r="H738" s="2" t="s">
        <v>1669</v>
      </c>
      <c r="I738" s="1" t="s">
        <v>14</v>
      </c>
      <c r="J738" s="1" t="s">
        <v>952</v>
      </c>
      <c r="L738" s="34"/>
      <c r="M738" s="35"/>
      <c r="N738" s="35"/>
      <c r="O738" s="35"/>
      <c r="P738" s="35"/>
      <c r="Q738" s="35"/>
      <c r="R738" s="41"/>
      <c r="S738" s="35"/>
      <c r="T738" s="35"/>
      <c r="U738" s="35"/>
      <c r="V738" s="60" t="s">
        <v>1735</v>
      </c>
    </row>
    <row r="739" spans="1:22" ht="76.5" x14ac:dyDescent="0.2">
      <c r="A739" s="1" t="s">
        <v>1294</v>
      </c>
      <c r="B739" s="2" t="s">
        <v>196</v>
      </c>
      <c r="C739" s="2" t="s">
        <v>1295</v>
      </c>
      <c r="D739" s="2" t="s">
        <v>158</v>
      </c>
      <c r="E739" s="2">
        <v>2020</v>
      </c>
      <c r="F739" s="2" t="s">
        <v>311</v>
      </c>
      <c r="G739" s="2" t="s">
        <v>1669</v>
      </c>
      <c r="H739" s="2" t="s">
        <v>1669</v>
      </c>
      <c r="I739" s="1" t="s">
        <v>1296</v>
      </c>
      <c r="J739" s="1" t="s">
        <v>1297</v>
      </c>
      <c r="L739" s="42">
        <v>0.2</v>
      </c>
      <c r="M739" s="35"/>
      <c r="N739" s="35">
        <f>44.37/0.2</f>
        <v>221.84999999999997</v>
      </c>
      <c r="O739" s="35"/>
      <c r="P739" s="35"/>
      <c r="Q739" s="35"/>
      <c r="R739" s="14"/>
      <c r="S739" s="14"/>
      <c r="T739" s="35"/>
      <c r="U739" s="35"/>
      <c r="V739" s="60" t="s">
        <v>1713</v>
      </c>
    </row>
    <row r="740" spans="1:22" ht="25.5" x14ac:dyDescent="0.2">
      <c r="A740" s="1" t="s">
        <v>1649</v>
      </c>
      <c r="B740" s="2" t="s">
        <v>196</v>
      </c>
      <c r="C740" s="2" t="s">
        <v>1650</v>
      </c>
      <c r="D740" s="2" t="s">
        <v>404</v>
      </c>
      <c r="E740" s="2">
        <v>2020</v>
      </c>
      <c r="F740" s="2" t="s">
        <v>388</v>
      </c>
      <c r="G740" s="2" t="s">
        <v>1668</v>
      </c>
      <c r="H740" s="2" t="s">
        <v>1669</v>
      </c>
      <c r="I740" s="1" t="s">
        <v>14</v>
      </c>
      <c r="J740" s="1" t="s">
        <v>1651</v>
      </c>
      <c r="L740" s="34" t="s">
        <v>1670</v>
      </c>
      <c r="M740" s="35"/>
      <c r="N740" s="35"/>
      <c r="O740" s="35"/>
      <c r="P740" s="35"/>
      <c r="Q740" s="35"/>
      <c r="R740" s="35"/>
      <c r="S740" s="35"/>
      <c r="T740" s="35"/>
      <c r="U740" s="35"/>
      <c r="V740" s="60" t="s">
        <v>1683</v>
      </c>
    </row>
    <row r="741" spans="1:22" ht="63.75" x14ac:dyDescent="0.2">
      <c r="A741" s="1" t="s">
        <v>289</v>
      </c>
      <c r="B741" s="2" t="s">
        <v>32</v>
      </c>
      <c r="C741" s="2" t="s">
        <v>290</v>
      </c>
      <c r="D741" s="2" t="s">
        <v>92</v>
      </c>
      <c r="E741" s="2">
        <v>2020</v>
      </c>
      <c r="F741" s="2" t="s">
        <v>211</v>
      </c>
      <c r="G741" s="2" t="s">
        <v>1667</v>
      </c>
      <c r="H741" s="2" t="s">
        <v>1669</v>
      </c>
      <c r="I741" s="1" t="s">
        <v>14</v>
      </c>
      <c r="J741" s="1" t="s">
        <v>708</v>
      </c>
      <c r="L741" s="34">
        <v>0.04</v>
      </c>
      <c r="M741" s="35"/>
      <c r="N741" s="35"/>
      <c r="O741" s="35"/>
      <c r="P741" s="35"/>
      <c r="R741" s="14"/>
      <c r="S741" s="35"/>
      <c r="T741" s="35"/>
      <c r="U741" s="35">
        <v>70</v>
      </c>
      <c r="V741" s="60" t="s">
        <v>1699</v>
      </c>
    </row>
    <row r="742" spans="1:22" ht="38.25" x14ac:dyDescent="0.2">
      <c r="A742" s="1" t="s">
        <v>289</v>
      </c>
      <c r="B742" s="2" t="s">
        <v>32</v>
      </c>
      <c r="C742" s="2" t="s">
        <v>290</v>
      </c>
      <c r="D742" s="2" t="s">
        <v>92</v>
      </c>
      <c r="E742" s="2">
        <v>2020</v>
      </c>
      <c r="F742" s="2" t="s">
        <v>291</v>
      </c>
      <c r="G742" s="2" t="s">
        <v>1667</v>
      </c>
      <c r="H742" s="2" t="s">
        <v>1669</v>
      </c>
      <c r="I742" s="1" t="s">
        <v>14</v>
      </c>
      <c r="J742" s="1" t="s">
        <v>1108</v>
      </c>
      <c r="L742" s="34">
        <v>0.04</v>
      </c>
      <c r="M742" s="35"/>
      <c r="N742" s="35"/>
      <c r="O742" s="35"/>
      <c r="P742" s="35"/>
      <c r="R742" s="14"/>
      <c r="S742" s="14"/>
      <c r="T742" s="35"/>
      <c r="U742" s="35">
        <v>70</v>
      </c>
      <c r="V742" s="60" t="s">
        <v>1699</v>
      </c>
    </row>
    <row r="743" spans="1:22" ht="25.5" x14ac:dyDescent="0.2">
      <c r="A743" s="1" t="s">
        <v>294</v>
      </c>
      <c r="B743" s="2" t="s">
        <v>295</v>
      </c>
      <c r="C743" s="2" t="s">
        <v>296</v>
      </c>
      <c r="D743" s="2" t="s">
        <v>297</v>
      </c>
      <c r="E743" s="2">
        <v>2020</v>
      </c>
      <c r="F743" s="2" t="s">
        <v>256</v>
      </c>
      <c r="G743" s="2" t="s">
        <v>1669</v>
      </c>
      <c r="H743" s="2" t="s">
        <v>1668</v>
      </c>
      <c r="I743" s="1" t="s">
        <v>888</v>
      </c>
      <c r="J743" s="1" t="s">
        <v>14</v>
      </c>
      <c r="L743" s="5"/>
      <c r="M743" s="35"/>
      <c r="N743" s="35"/>
      <c r="O743" s="35"/>
      <c r="P743" s="35"/>
      <c r="Q743" s="35"/>
      <c r="R743" s="6"/>
      <c r="S743" s="6"/>
      <c r="T743" s="35"/>
      <c r="U743" s="35"/>
      <c r="V743" s="60" t="s">
        <v>1714</v>
      </c>
    </row>
    <row r="744" spans="1:22" ht="165.75" x14ac:dyDescent="0.2">
      <c r="A744" s="1" t="s">
        <v>294</v>
      </c>
      <c r="B744" s="2" t="s">
        <v>295</v>
      </c>
      <c r="C744" s="2" t="s">
        <v>296</v>
      </c>
      <c r="D744" s="2" t="s">
        <v>297</v>
      </c>
      <c r="E744" s="2">
        <v>2020</v>
      </c>
      <c r="F744" s="2" t="s">
        <v>291</v>
      </c>
      <c r="G744" s="2" t="s">
        <v>1668</v>
      </c>
      <c r="H744" s="2" t="s">
        <v>1669</v>
      </c>
      <c r="I744" s="1" t="s">
        <v>14</v>
      </c>
      <c r="J744" s="1" t="s">
        <v>1110</v>
      </c>
      <c r="L744" s="34">
        <v>0.27600000000000002</v>
      </c>
      <c r="M744" s="35"/>
      <c r="N744" s="35">
        <f>88.1+21.1+73.4+75.6+79.1+114+87.5</f>
        <v>538.79999999999995</v>
      </c>
      <c r="O744" s="35"/>
      <c r="P744" s="35"/>
      <c r="Q744" s="35"/>
      <c r="R744" s="14"/>
      <c r="S744" s="14"/>
      <c r="T744" s="35"/>
      <c r="U744" s="35"/>
    </row>
    <row r="745" spans="1:22" ht="89.25" x14ac:dyDescent="0.2">
      <c r="A745" s="1" t="s">
        <v>294</v>
      </c>
      <c r="B745" s="2" t="s">
        <v>295</v>
      </c>
      <c r="C745" s="2" t="s">
        <v>296</v>
      </c>
      <c r="D745" s="2" t="s">
        <v>297</v>
      </c>
      <c r="E745" s="2">
        <v>2020</v>
      </c>
      <c r="F745" s="2" t="s">
        <v>337</v>
      </c>
      <c r="G745" s="2" t="s">
        <v>1669</v>
      </c>
      <c r="H745" s="2" t="s">
        <v>1668</v>
      </c>
      <c r="I745" s="1" t="s">
        <v>1456</v>
      </c>
      <c r="J745" s="1" t="s">
        <v>14</v>
      </c>
      <c r="L745" s="34"/>
      <c r="M745" s="35"/>
      <c r="N745" s="35"/>
      <c r="O745" s="35"/>
      <c r="P745" s="35"/>
      <c r="Q745" s="35"/>
      <c r="R745" s="14"/>
      <c r="S745" s="14"/>
      <c r="T745" s="35"/>
      <c r="U745" s="35"/>
      <c r="V745" s="60" t="s">
        <v>1695</v>
      </c>
    </row>
    <row r="746" spans="1:22" ht="76.5" x14ac:dyDescent="0.2">
      <c r="A746" s="1" t="s">
        <v>294</v>
      </c>
      <c r="B746" s="2" t="s">
        <v>295</v>
      </c>
      <c r="C746" s="2" t="s">
        <v>296</v>
      </c>
      <c r="D746" s="2" t="s">
        <v>297</v>
      </c>
      <c r="E746" s="2">
        <v>2020</v>
      </c>
      <c r="F746" s="2" t="s">
        <v>364</v>
      </c>
      <c r="G746" s="2" t="s">
        <v>1669</v>
      </c>
      <c r="H746" s="2" t="s">
        <v>1668</v>
      </c>
      <c r="I746" s="1" t="s">
        <v>1509</v>
      </c>
      <c r="J746" s="1" t="s">
        <v>14</v>
      </c>
      <c r="L746" s="34"/>
      <c r="M746" s="35"/>
      <c r="N746" s="35"/>
      <c r="O746" s="35"/>
      <c r="P746" s="35"/>
      <c r="Q746" s="35"/>
      <c r="R746" s="14"/>
      <c r="S746" s="14"/>
      <c r="T746" s="35"/>
      <c r="U746" s="35"/>
      <c r="V746" s="60" t="s">
        <v>1714</v>
      </c>
    </row>
    <row r="747" spans="1:22" ht="39.75" customHeight="1" x14ac:dyDescent="0.2">
      <c r="A747" s="1" t="s">
        <v>294</v>
      </c>
      <c r="B747" s="2" t="s">
        <v>295</v>
      </c>
      <c r="C747" s="2" t="s">
        <v>296</v>
      </c>
      <c r="D747" s="2" t="s">
        <v>297</v>
      </c>
      <c r="E747" s="2">
        <v>2020</v>
      </c>
      <c r="F747" s="2" t="s">
        <v>388</v>
      </c>
      <c r="G747" s="2" t="s">
        <v>1669</v>
      </c>
      <c r="H747" s="2" t="s">
        <v>1668</v>
      </c>
      <c r="I747" s="1" t="s">
        <v>1662</v>
      </c>
      <c r="J747" s="1" t="s">
        <v>14</v>
      </c>
      <c r="L747" s="34"/>
      <c r="M747" s="35"/>
      <c r="N747" s="35"/>
      <c r="O747" s="35"/>
      <c r="P747" s="35"/>
      <c r="Q747" s="35"/>
      <c r="R747" s="35"/>
      <c r="S747" s="35"/>
      <c r="T747" s="35"/>
      <c r="U747" s="35"/>
      <c r="V747" s="60" t="s">
        <v>1714</v>
      </c>
    </row>
    <row r="748" spans="1:22" ht="51" x14ac:dyDescent="0.2">
      <c r="A748" s="1" t="s">
        <v>1088</v>
      </c>
      <c r="B748" s="2" t="s">
        <v>196</v>
      </c>
      <c r="C748" s="2" t="s">
        <v>1089</v>
      </c>
      <c r="D748" s="2" t="s">
        <v>85</v>
      </c>
      <c r="E748" s="2">
        <v>2020</v>
      </c>
      <c r="F748" s="2" t="s">
        <v>291</v>
      </c>
      <c r="G748" s="2" t="s">
        <v>1669</v>
      </c>
      <c r="H748" s="2" t="s">
        <v>1669</v>
      </c>
      <c r="I748" s="1" t="s">
        <v>1090</v>
      </c>
      <c r="J748" s="1" t="s">
        <v>1091</v>
      </c>
      <c r="L748" s="34">
        <v>0.32400000000000001</v>
      </c>
      <c r="M748" s="35"/>
      <c r="N748" s="35">
        <f>277.43+40</f>
        <v>317.43</v>
      </c>
      <c r="O748" s="35"/>
      <c r="P748" s="35"/>
      <c r="Q748" s="35"/>
      <c r="R748" s="14"/>
      <c r="S748" s="14"/>
      <c r="T748" s="35"/>
      <c r="U748" s="35"/>
    </row>
    <row r="749" spans="1:22" ht="51" x14ac:dyDescent="0.2">
      <c r="A749" s="1" t="s">
        <v>319</v>
      </c>
      <c r="B749" s="2" t="s">
        <v>318</v>
      </c>
      <c r="C749" s="2" t="s">
        <v>320</v>
      </c>
      <c r="D749" s="2" t="s">
        <v>305</v>
      </c>
      <c r="E749" s="2">
        <v>2020</v>
      </c>
      <c r="F749" s="2" t="s">
        <v>311</v>
      </c>
      <c r="G749" s="2" t="s">
        <v>1669</v>
      </c>
      <c r="H749" s="2" t="s">
        <v>1669</v>
      </c>
      <c r="I749" s="1" t="s">
        <v>1218</v>
      </c>
      <c r="J749" s="1" t="s">
        <v>1219</v>
      </c>
      <c r="L749" s="34" t="s">
        <v>1670</v>
      </c>
      <c r="M749" s="35"/>
      <c r="N749" s="35"/>
      <c r="O749" s="35"/>
      <c r="P749" s="35"/>
      <c r="Q749" s="35"/>
      <c r="R749" s="14"/>
      <c r="S749" s="14"/>
      <c r="T749" s="35"/>
      <c r="U749" s="43">
        <f>(1000+8120)*0.004546</f>
        <v>41.459519999999998</v>
      </c>
      <c r="V749" s="60" t="s">
        <v>1701</v>
      </c>
    </row>
    <row r="750" spans="1:22" ht="89.25" x14ac:dyDescent="0.2">
      <c r="A750" s="1" t="s">
        <v>365</v>
      </c>
      <c r="B750" s="2" t="s">
        <v>264</v>
      </c>
      <c r="C750" s="2" t="s">
        <v>366</v>
      </c>
      <c r="D750" s="2" t="s">
        <v>367</v>
      </c>
      <c r="E750" s="2">
        <v>2020</v>
      </c>
      <c r="F750" s="2" t="s">
        <v>211</v>
      </c>
      <c r="G750" s="2" t="s">
        <v>1669</v>
      </c>
      <c r="H750" s="2" t="s">
        <v>1669</v>
      </c>
      <c r="I750" s="1" t="s">
        <v>684</v>
      </c>
      <c r="J750" s="1" t="s">
        <v>685</v>
      </c>
      <c r="L750" s="34" t="s">
        <v>1670</v>
      </c>
      <c r="M750" s="35"/>
      <c r="N750" s="35"/>
      <c r="O750" s="35"/>
      <c r="P750" s="35"/>
      <c r="Q750" s="35"/>
      <c r="R750" s="14"/>
      <c r="S750" s="35"/>
      <c r="T750" s="35"/>
      <c r="U750" s="43">
        <f>2000*0.004546</f>
        <v>9.0919999999999987</v>
      </c>
      <c r="V750" s="60" t="s">
        <v>1701</v>
      </c>
    </row>
    <row r="751" spans="1:22" ht="51" x14ac:dyDescent="0.2">
      <c r="A751" s="1" t="s">
        <v>365</v>
      </c>
      <c r="B751" s="2" t="s">
        <v>264</v>
      </c>
      <c r="C751" s="2" t="s">
        <v>366</v>
      </c>
      <c r="D751" s="2" t="s">
        <v>367</v>
      </c>
      <c r="E751" s="2">
        <v>2020</v>
      </c>
      <c r="F751" s="2" t="s">
        <v>364</v>
      </c>
      <c r="G751" s="2" t="s">
        <v>1669</v>
      </c>
      <c r="H751" s="2" t="s">
        <v>1669</v>
      </c>
      <c r="I751" s="1" t="s">
        <v>1502</v>
      </c>
      <c r="J751" s="1" t="s">
        <v>1503</v>
      </c>
      <c r="L751" s="34" t="s">
        <v>1670</v>
      </c>
      <c r="M751" s="35"/>
      <c r="N751" s="35"/>
      <c r="O751" s="35"/>
      <c r="P751" s="35"/>
      <c r="Q751" s="35"/>
      <c r="R751" s="14"/>
      <c r="S751" s="14"/>
      <c r="T751" s="35"/>
      <c r="U751" s="43">
        <f>36000*0.004546</f>
        <v>163.65599999999998</v>
      </c>
      <c r="V751" s="60" t="s">
        <v>1701</v>
      </c>
    </row>
    <row r="752" spans="1:22" ht="38.25" x14ac:dyDescent="0.2">
      <c r="A752" s="1" t="s">
        <v>1546</v>
      </c>
      <c r="B752" s="2" t="s">
        <v>271</v>
      </c>
      <c r="C752" s="2" t="s">
        <v>1547</v>
      </c>
      <c r="D752" s="2" t="s">
        <v>40</v>
      </c>
      <c r="E752" s="2">
        <v>2020</v>
      </c>
      <c r="F752" s="2" t="s">
        <v>364</v>
      </c>
      <c r="G752" s="2" t="s">
        <v>1669</v>
      </c>
      <c r="H752" s="2" t="s">
        <v>1669</v>
      </c>
      <c r="I752" s="1" t="s">
        <v>1548</v>
      </c>
      <c r="J752" s="1" t="s">
        <v>1549</v>
      </c>
      <c r="L752" s="34">
        <v>0.04</v>
      </c>
      <c r="M752" s="35"/>
      <c r="N752" s="35">
        <v>972.68</v>
      </c>
      <c r="O752" s="35"/>
      <c r="P752" s="35"/>
      <c r="Q752" s="35"/>
      <c r="R752" s="14"/>
      <c r="S752" s="14"/>
      <c r="T752" s="35"/>
      <c r="U752" s="35"/>
      <c r="V752" s="60" t="s">
        <v>1699</v>
      </c>
    </row>
    <row r="753" spans="1:22" ht="25.5" x14ac:dyDescent="0.2">
      <c r="A753" s="1" t="s">
        <v>1063</v>
      </c>
      <c r="B753" s="2" t="s">
        <v>196</v>
      </c>
      <c r="C753" s="2" t="s">
        <v>300</v>
      </c>
      <c r="D753" s="2" t="s">
        <v>197</v>
      </c>
      <c r="E753" s="2">
        <v>2020</v>
      </c>
      <c r="F753" s="2" t="s">
        <v>276</v>
      </c>
      <c r="G753" s="2" t="s">
        <v>1668</v>
      </c>
      <c r="H753" s="2" t="s">
        <v>1669</v>
      </c>
      <c r="I753" s="1" t="s">
        <v>14</v>
      </c>
      <c r="J753" s="1" t="s">
        <v>1064</v>
      </c>
      <c r="L753" s="34"/>
      <c r="M753" s="35"/>
      <c r="N753" s="35"/>
      <c r="O753" s="35"/>
      <c r="P753" s="35"/>
      <c r="Q753" s="35"/>
      <c r="R753" s="14"/>
      <c r="S753" s="14"/>
      <c r="T753" s="35"/>
      <c r="U753" s="35"/>
      <c r="V753" s="60" t="s">
        <v>1683</v>
      </c>
    </row>
    <row r="754" spans="1:22" ht="51" x14ac:dyDescent="0.2">
      <c r="A754" s="1" t="s">
        <v>1063</v>
      </c>
      <c r="B754" s="2" t="s">
        <v>196</v>
      </c>
      <c r="C754" s="2" t="s">
        <v>300</v>
      </c>
      <c r="D754" s="2" t="s">
        <v>197</v>
      </c>
      <c r="E754" s="2">
        <v>2020</v>
      </c>
      <c r="F754" s="2" t="s">
        <v>291</v>
      </c>
      <c r="G754" s="2" t="s">
        <v>1669</v>
      </c>
      <c r="H754" s="2" t="s">
        <v>1668</v>
      </c>
      <c r="I754" s="1" t="s">
        <v>1106</v>
      </c>
      <c r="J754" s="1" t="s">
        <v>14</v>
      </c>
      <c r="L754" s="34"/>
      <c r="M754" s="35"/>
      <c r="N754" s="35"/>
      <c r="O754" s="35"/>
      <c r="P754" s="35"/>
      <c r="Q754" s="35"/>
      <c r="R754" s="14"/>
      <c r="S754" s="14"/>
      <c r="T754" s="35"/>
      <c r="U754" s="35"/>
      <c r="V754" s="60" t="s">
        <v>1693</v>
      </c>
    </row>
    <row r="755" spans="1:22" ht="38.25" x14ac:dyDescent="0.2">
      <c r="A755" s="1" t="s">
        <v>298</v>
      </c>
      <c r="B755" s="2" t="s">
        <v>299</v>
      </c>
      <c r="C755" s="2" t="s">
        <v>300</v>
      </c>
      <c r="D755" s="2" t="s">
        <v>197</v>
      </c>
      <c r="E755" s="2">
        <v>2020</v>
      </c>
      <c r="F755" s="2" t="s">
        <v>311</v>
      </c>
      <c r="G755" s="2" t="s">
        <v>1669</v>
      </c>
      <c r="H755" s="2" t="s">
        <v>1669</v>
      </c>
      <c r="I755" s="1" t="s">
        <v>1230</v>
      </c>
      <c r="J755" s="1" t="s">
        <v>1231</v>
      </c>
      <c r="L755" s="34" t="s">
        <v>1670</v>
      </c>
      <c r="M755" s="35"/>
      <c r="N755" s="35"/>
      <c r="O755" s="35"/>
      <c r="P755" s="35"/>
      <c r="Q755" s="35"/>
      <c r="R755" s="14"/>
      <c r="S755" s="14"/>
      <c r="T755" s="35"/>
      <c r="U755" s="43">
        <f>3000*0.004546</f>
        <v>13.638</v>
      </c>
      <c r="V755" s="60" t="s">
        <v>1701</v>
      </c>
    </row>
    <row r="756" spans="1:22" ht="38.25" x14ac:dyDescent="0.2">
      <c r="A756" s="1" t="s">
        <v>78</v>
      </c>
      <c r="B756" s="2" t="s">
        <v>24</v>
      </c>
      <c r="C756" s="2" t="s">
        <v>79</v>
      </c>
      <c r="D756" s="2" t="s">
        <v>80</v>
      </c>
      <c r="E756" s="2">
        <v>2020</v>
      </c>
      <c r="F756" s="2" t="s">
        <v>13</v>
      </c>
      <c r="G756" s="2" t="s">
        <v>1667</v>
      </c>
      <c r="H756" s="2" t="s">
        <v>1669</v>
      </c>
      <c r="I756" s="1" t="s">
        <v>14</v>
      </c>
      <c r="J756" s="1" t="s">
        <v>486</v>
      </c>
      <c r="L756" s="5">
        <v>0.23799999999999999</v>
      </c>
      <c r="M756" s="35"/>
      <c r="N756" s="35"/>
      <c r="O756" s="35"/>
      <c r="P756" s="35"/>
      <c r="Q756" s="35"/>
      <c r="R756" s="35">
        <v>472.3</v>
      </c>
      <c r="S756" s="35"/>
      <c r="T756" s="35"/>
      <c r="U756" s="35"/>
      <c r="V756" s="60" t="s">
        <v>1737</v>
      </c>
    </row>
    <row r="757" spans="1:22" ht="38.25" x14ac:dyDescent="0.2">
      <c r="A757" s="1" t="s">
        <v>78</v>
      </c>
      <c r="B757" s="2" t="s">
        <v>24</v>
      </c>
      <c r="C757" s="2" t="s">
        <v>79</v>
      </c>
      <c r="D757" s="2" t="s">
        <v>80</v>
      </c>
      <c r="E757" s="2">
        <v>2020</v>
      </c>
      <c r="F757" s="2" t="s">
        <v>188</v>
      </c>
      <c r="G757" s="2" t="s">
        <v>1667</v>
      </c>
      <c r="H757" s="2" t="s">
        <v>1669</v>
      </c>
      <c r="I757" s="1" t="s">
        <v>14</v>
      </c>
      <c r="J757" s="1" t="s">
        <v>571</v>
      </c>
      <c r="L757" s="34">
        <v>0.23599999999999999</v>
      </c>
      <c r="M757" s="35"/>
      <c r="N757" s="35">
        <v>80.599999999999994</v>
      </c>
      <c r="O757" s="35"/>
      <c r="P757" s="35"/>
      <c r="Q757" s="35"/>
      <c r="R757" s="44">
        <v>333.3</v>
      </c>
      <c r="S757" s="35"/>
      <c r="T757" s="35"/>
      <c r="U757" s="35"/>
      <c r="V757" s="60" t="s">
        <v>1737</v>
      </c>
    </row>
    <row r="758" spans="1:22" ht="38.25" x14ac:dyDescent="0.2">
      <c r="A758" s="1" t="s">
        <v>78</v>
      </c>
      <c r="B758" s="2" t="s">
        <v>24</v>
      </c>
      <c r="C758" s="2" t="s">
        <v>79</v>
      </c>
      <c r="D758" s="2" t="s">
        <v>80</v>
      </c>
      <c r="E758" s="2">
        <v>2020</v>
      </c>
      <c r="F758" s="2" t="s">
        <v>203</v>
      </c>
      <c r="G758" s="2" t="s">
        <v>1667</v>
      </c>
      <c r="H758" s="2" t="s">
        <v>1669</v>
      </c>
      <c r="I758" s="1" t="s">
        <v>14</v>
      </c>
      <c r="J758" s="1" t="s">
        <v>658</v>
      </c>
      <c r="L758" s="34">
        <v>0.24399999999999999</v>
      </c>
      <c r="M758" s="35"/>
      <c r="N758" s="35">
        <v>427</v>
      </c>
      <c r="O758" s="35"/>
      <c r="P758" s="35"/>
      <c r="Q758" s="35"/>
      <c r="R758" s="14"/>
      <c r="S758" s="35"/>
      <c r="T758" s="35"/>
      <c r="U758" s="35"/>
      <c r="V758" s="60" t="s">
        <v>1737</v>
      </c>
    </row>
    <row r="759" spans="1:22" ht="38.25" x14ac:dyDescent="0.2">
      <c r="A759" s="1" t="s">
        <v>78</v>
      </c>
      <c r="B759" s="2" t="s">
        <v>24</v>
      </c>
      <c r="C759" s="2" t="s">
        <v>79</v>
      </c>
      <c r="D759" s="2" t="s">
        <v>80</v>
      </c>
      <c r="E759" s="2">
        <v>2020</v>
      </c>
      <c r="F759" s="2" t="s">
        <v>211</v>
      </c>
      <c r="G759" s="2" t="s">
        <v>1667</v>
      </c>
      <c r="H759" s="2" t="s">
        <v>1669</v>
      </c>
      <c r="I759" s="1" t="s">
        <v>14</v>
      </c>
      <c r="J759" s="1" t="s">
        <v>712</v>
      </c>
      <c r="L759" s="34">
        <v>0.246</v>
      </c>
      <c r="M759" s="35"/>
      <c r="N759" s="35">
        <v>338.4</v>
      </c>
      <c r="O759" s="35"/>
      <c r="P759" s="35"/>
      <c r="Q759" s="35"/>
      <c r="R759" s="14"/>
      <c r="S759" s="35"/>
      <c r="T759" s="35"/>
      <c r="U759" s="35"/>
      <c r="V759" s="60" t="s">
        <v>1737</v>
      </c>
    </row>
    <row r="760" spans="1:22" ht="51" x14ac:dyDescent="0.2">
      <c r="A760" s="1" t="s">
        <v>78</v>
      </c>
      <c r="B760" s="2" t="s">
        <v>24</v>
      </c>
      <c r="C760" s="2" t="s">
        <v>79</v>
      </c>
      <c r="D760" s="2" t="s">
        <v>80</v>
      </c>
      <c r="E760" s="2">
        <v>2020</v>
      </c>
      <c r="F760" s="2" t="s">
        <v>221</v>
      </c>
      <c r="G760" s="2" t="s">
        <v>1667</v>
      </c>
      <c r="H760" s="2" t="s">
        <v>1669</v>
      </c>
      <c r="I760" s="1" t="s">
        <v>14</v>
      </c>
      <c r="J760" s="1" t="s">
        <v>801</v>
      </c>
      <c r="L760" s="34">
        <v>0.245</v>
      </c>
      <c r="M760" s="35"/>
      <c r="N760" s="35">
        <v>445.49</v>
      </c>
      <c r="O760" s="35"/>
      <c r="P760" s="35"/>
      <c r="Q760" s="35"/>
      <c r="R760" s="14"/>
      <c r="S760" s="35"/>
      <c r="T760" s="35"/>
      <c r="U760" s="35"/>
      <c r="V760" s="60" t="s">
        <v>1737</v>
      </c>
    </row>
    <row r="761" spans="1:22" ht="38.25" x14ac:dyDescent="0.2">
      <c r="A761" s="1" t="s">
        <v>78</v>
      </c>
      <c r="B761" s="2" t="s">
        <v>24</v>
      </c>
      <c r="C761" s="2" t="s">
        <v>79</v>
      </c>
      <c r="D761" s="2" t="s">
        <v>80</v>
      </c>
      <c r="E761" s="2">
        <v>2020</v>
      </c>
      <c r="F761" s="2" t="s">
        <v>256</v>
      </c>
      <c r="G761" s="2" t="s">
        <v>1667</v>
      </c>
      <c r="H761" s="2" t="s">
        <v>1669</v>
      </c>
      <c r="I761" s="1" t="s">
        <v>14</v>
      </c>
      <c r="J761" s="1" t="s">
        <v>949</v>
      </c>
      <c r="L761" s="34">
        <v>0.24299999999999999</v>
      </c>
      <c r="M761" s="35"/>
      <c r="N761" s="35">
        <v>558.44000000000005</v>
      </c>
      <c r="O761" s="35"/>
      <c r="P761" s="35"/>
      <c r="Q761" s="35"/>
      <c r="R761" s="14"/>
      <c r="S761" s="14"/>
      <c r="T761" s="35"/>
      <c r="U761" s="35"/>
      <c r="V761" s="60" t="s">
        <v>1737</v>
      </c>
    </row>
    <row r="762" spans="1:22" ht="51" x14ac:dyDescent="0.2">
      <c r="A762" s="1" t="s">
        <v>78</v>
      </c>
      <c r="B762" s="2" t="s">
        <v>24</v>
      </c>
      <c r="C762" s="2" t="s">
        <v>79</v>
      </c>
      <c r="D762" s="2" t="s">
        <v>80</v>
      </c>
      <c r="E762" s="2">
        <v>2020</v>
      </c>
      <c r="F762" s="2" t="s">
        <v>276</v>
      </c>
      <c r="G762" s="2" t="s">
        <v>1667</v>
      </c>
      <c r="H762" s="2" t="s">
        <v>1669</v>
      </c>
      <c r="I762" s="1" t="s">
        <v>14</v>
      </c>
      <c r="J762" s="1" t="s">
        <v>1004</v>
      </c>
      <c r="L762" s="34">
        <v>0.254</v>
      </c>
      <c r="M762" s="35"/>
      <c r="N762" s="35">
        <v>584.13</v>
      </c>
      <c r="O762" s="35"/>
      <c r="P762" s="35"/>
      <c r="Q762" s="35"/>
      <c r="R762" s="14"/>
      <c r="S762" s="14"/>
      <c r="T762" s="35"/>
      <c r="U762" s="35"/>
      <c r="V762" s="60" t="s">
        <v>1737</v>
      </c>
    </row>
    <row r="763" spans="1:22" ht="38.25" x14ac:dyDescent="0.2">
      <c r="A763" s="1" t="s">
        <v>78</v>
      </c>
      <c r="B763" s="2" t="s">
        <v>24</v>
      </c>
      <c r="C763" s="2" t="s">
        <v>79</v>
      </c>
      <c r="D763" s="2" t="s">
        <v>80</v>
      </c>
      <c r="E763" s="2">
        <v>2020</v>
      </c>
      <c r="F763" s="2" t="s">
        <v>291</v>
      </c>
      <c r="G763" s="2" t="s">
        <v>1667</v>
      </c>
      <c r="H763" s="2" t="s">
        <v>1669</v>
      </c>
      <c r="I763" s="1" t="s">
        <v>14</v>
      </c>
      <c r="J763" s="1" t="s">
        <v>1177</v>
      </c>
      <c r="L763" s="34">
        <v>0.25</v>
      </c>
      <c r="M763" s="35"/>
      <c r="N763" s="35">
        <v>502.25</v>
      </c>
      <c r="O763" s="35"/>
      <c r="P763" s="35"/>
      <c r="Q763" s="35"/>
      <c r="R763" s="14"/>
      <c r="S763" s="14"/>
      <c r="T763" s="35"/>
      <c r="U763" s="35"/>
      <c r="V763" s="60" t="s">
        <v>1737</v>
      </c>
    </row>
    <row r="764" spans="1:22" ht="38.25" x14ac:dyDescent="0.2">
      <c r="A764" s="1" t="s">
        <v>78</v>
      </c>
      <c r="B764" s="2" t="s">
        <v>24</v>
      </c>
      <c r="C764" s="2" t="s">
        <v>79</v>
      </c>
      <c r="D764" s="2" t="s">
        <v>80</v>
      </c>
      <c r="E764" s="2">
        <v>2020</v>
      </c>
      <c r="F764" s="2" t="s">
        <v>311</v>
      </c>
      <c r="G764" s="2" t="s">
        <v>1667</v>
      </c>
      <c r="H764" s="2" t="s">
        <v>1669</v>
      </c>
      <c r="I764" s="1" t="s">
        <v>14</v>
      </c>
      <c r="J764" s="1" t="s">
        <v>1273</v>
      </c>
      <c r="L764" s="34">
        <v>0.25</v>
      </c>
      <c r="M764" s="35"/>
      <c r="N764" s="35">
        <v>520.70000000000005</v>
      </c>
      <c r="O764" s="35"/>
      <c r="P764" s="35"/>
      <c r="Q764" s="35"/>
      <c r="R764" s="14"/>
      <c r="S764" s="14"/>
      <c r="T764" s="35"/>
      <c r="U764" s="35"/>
      <c r="V764" s="60" t="s">
        <v>1737</v>
      </c>
    </row>
    <row r="765" spans="1:22" ht="51" x14ac:dyDescent="0.2">
      <c r="A765" s="1" t="s">
        <v>78</v>
      </c>
      <c r="B765" s="2" t="s">
        <v>24</v>
      </c>
      <c r="C765" s="2" t="s">
        <v>79</v>
      </c>
      <c r="D765" s="2" t="s">
        <v>80</v>
      </c>
      <c r="E765" s="2">
        <v>2020</v>
      </c>
      <c r="F765" s="2" t="s">
        <v>337</v>
      </c>
      <c r="G765" s="2" t="s">
        <v>1667</v>
      </c>
      <c r="H765" s="2" t="s">
        <v>1669</v>
      </c>
      <c r="I765" s="1" t="s">
        <v>14</v>
      </c>
      <c r="J765" s="1" t="s">
        <v>1423</v>
      </c>
      <c r="L765" s="34">
        <v>0.253</v>
      </c>
      <c r="M765" s="35"/>
      <c r="N765" s="35">
        <v>556.01</v>
      </c>
      <c r="O765" s="35"/>
      <c r="P765" s="35"/>
      <c r="Q765" s="35"/>
      <c r="R765" s="14"/>
      <c r="S765" s="14"/>
      <c r="T765" s="35"/>
      <c r="U765" s="35"/>
      <c r="V765" s="60" t="s">
        <v>1737</v>
      </c>
    </row>
    <row r="766" spans="1:22" ht="38.25" x14ac:dyDescent="0.2">
      <c r="A766" s="1" t="s">
        <v>78</v>
      </c>
      <c r="B766" s="2" t="s">
        <v>24</v>
      </c>
      <c r="C766" s="2" t="s">
        <v>79</v>
      </c>
      <c r="D766" s="2" t="s">
        <v>80</v>
      </c>
      <c r="E766" s="2">
        <v>2020</v>
      </c>
      <c r="F766" s="2" t="s">
        <v>364</v>
      </c>
      <c r="G766" s="2" t="s">
        <v>1667</v>
      </c>
      <c r="H766" s="2" t="s">
        <v>1669</v>
      </c>
      <c r="I766" s="1" t="s">
        <v>14</v>
      </c>
      <c r="J766" s="1" t="s">
        <v>1518</v>
      </c>
      <c r="L766" s="34">
        <v>0.24</v>
      </c>
      <c r="M766" s="35"/>
      <c r="N766" s="35">
        <v>527.77</v>
      </c>
      <c r="O766" s="35"/>
      <c r="P766" s="35"/>
      <c r="Q766" s="35"/>
      <c r="R766" s="14"/>
      <c r="S766" s="14"/>
      <c r="T766" s="35"/>
      <c r="U766" s="35"/>
      <c r="V766" s="60" t="s">
        <v>1737</v>
      </c>
    </row>
    <row r="767" spans="1:22" ht="38.25" x14ac:dyDescent="0.2">
      <c r="A767" s="1" t="s">
        <v>78</v>
      </c>
      <c r="B767" s="2" t="s">
        <v>24</v>
      </c>
      <c r="C767" s="2" t="s">
        <v>79</v>
      </c>
      <c r="D767" s="2" t="s">
        <v>80</v>
      </c>
      <c r="E767" s="2">
        <v>2020</v>
      </c>
      <c r="F767" s="2" t="s">
        <v>388</v>
      </c>
      <c r="G767" s="2" t="s">
        <v>1667</v>
      </c>
      <c r="H767" s="2" t="s">
        <v>1669</v>
      </c>
      <c r="I767" s="1" t="s">
        <v>14</v>
      </c>
      <c r="J767" s="1" t="s">
        <v>1619</v>
      </c>
      <c r="L767" s="34">
        <v>0.249</v>
      </c>
      <c r="M767" s="35"/>
      <c r="N767" s="35">
        <v>269.24</v>
      </c>
      <c r="O767" s="35">
        <v>158.13999999999999</v>
      </c>
      <c r="P767" s="35"/>
      <c r="Q767" s="35"/>
      <c r="R767" s="35"/>
      <c r="S767" s="35"/>
      <c r="T767" s="35"/>
      <c r="U767" s="35"/>
      <c r="V767" s="60" t="s">
        <v>1737</v>
      </c>
    </row>
    <row r="768" spans="1:22" ht="102" x14ac:dyDescent="0.2">
      <c r="A768" s="1" t="s">
        <v>1554</v>
      </c>
      <c r="B768" s="2" t="s">
        <v>196</v>
      </c>
      <c r="C768" s="2" t="s">
        <v>1555</v>
      </c>
      <c r="D768" s="2" t="s">
        <v>314</v>
      </c>
      <c r="E768" s="2">
        <v>2020</v>
      </c>
      <c r="F768" s="2" t="s">
        <v>364</v>
      </c>
      <c r="G768" s="2" t="s">
        <v>1669</v>
      </c>
      <c r="H768" s="2" t="s">
        <v>1669</v>
      </c>
      <c r="I768" s="1" t="s">
        <v>1556</v>
      </c>
      <c r="J768" s="1" t="s">
        <v>1557</v>
      </c>
      <c r="L768" s="34">
        <v>0.27</v>
      </c>
      <c r="M768" s="35"/>
      <c r="N768" s="35">
        <f>277.01+708.74</f>
        <v>985.75</v>
      </c>
      <c r="O768" s="35"/>
      <c r="P768" s="35"/>
      <c r="Q768" s="35"/>
      <c r="R768" s="14"/>
      <c r="S768" s="14"/>
      <c r="T768" s="35"/>
      <c r="U768" s="35"/>
      <c r="V768" s="60" t="s">
        <v>1737</v>
      </c>
    </row>
    <row r="769" spans="1:22" ht="140.25" x14ac:dyDescent="0.2">
      <c r="A769" s="1" t="s">
        <v>375</v>
      </c>
      <c r="B769" s="2" t="s">
        <v>318</v>
      </c>
      <c r="C769" s="2" t="s">
        <v>376</v>
      </c>
      <c r="D769" s="2" t="s">
        <v>377</v>
      </c>
      <c r="E769" s="2">
        <v>2020</v>
      </c>
      <c r="F769" s="2" t="s">
        <v>364</v>
      </c>
      <c r="G769" s="2" t="s">
        <v>1669</v>
      </c>
      <c r="H769" s="2" t="s">
        <v>1669</v>
      </c>
      <c r="I769" s="1" t="s">
        <v>1481</v>
      </c>
      <c r="J769" s="1" t="s">
        <v>1482</v>
      </c>
      <c r="L769" s="34" t="s">
        <v>1670</v>
      </c>
      <c r="M769" s="35"/>
      <c r="N769" s="35"/>
      <c r="O769" s="35"/>
      <c r="P769" s="35"/>
      <c r="Q769" s="35"/>
      <c r="R769" s="14"/>
      <c r="S769" s="14"/>
      <c r="T769" s="35"/>
      <c r="U769" s="35"/>
      <c r="V769" s="60" t="s">
        <v>1715</v>
      </c>
    </row>
    <row r="770" spans="1:22" ht="25.5" x14ac:dyDescent="0.2">
      <c r="A770" s="1" t="s">
        <v>1192</v>
      </c>
      <c r="B770" s="2" t="s">
        <v>196</v>
      </c>
      <c r="C770" s="2" t="s">
        <v>1193</v>
      </c>
      <c r="D770" s="2" t="s">
        <v>336</v>
      </c>
      <c r="E770" s="2">
        <v>2020</v>
      </c>
      <c r="F770" s="2" t="s">
        <v>291</v>
      </c>
      <c r="G770" s="2" t="s">
        <v>1669</v>
      </c>
      <c r="H770" s="2" t="s">
        <v>1669</v>
      </c>
      <c r="I770" s="1" t="s">
        <v>1194</v>
      </c>
      <c r="J770" s="1" t="s">
        <v>1194</v>
      </c>
      <c r="L770" s="34"/>
      <c r="M770" s="35"/>
      <c r="N770" s="35"/>
      <c r="O770" s="35"/>
      <c r="P770" s="35"/>
      <c r="Q770" s="35"/>
      <c r="R770" s="14"/>
      <c r="S770" s="14"/>
      <c r="T770" s="35"/>
      <c r="U770" s="35"/>
    </row>
    <row r="771" spans="1:22" ht="51" x14ac:dyDescent="0.2">
      <c r="A771" s="1" t="s">
        <v>1192</v>
      </c>
      <c r="B771" s="2" t="s">
        <v>196</v>
      </c>
      <c r="C771" s="2" t="s">
        <v>1193</v>
      </c>
      <c r="D771" s="2" t="s">
        <v>336</v>
      </c>
      <c r="E771" s="2">
        <v>2020</v>
      </c>
      <c r="F771" s="2" t="s">
        <v>337</v>
      </c>
      <c r="G771" s="2" t="s">
        <v>1669</v>
      </c>
      <c r="H771" s="2" t="s">
        <v>1669</v>
      </c>
      <c r="I771" s="1" t="s">
        <v>1438</v>
      </c>
      <c r="J771" s="1" t="s">
        <v>1439</v>
      </c>
      <c r="L771" s="34">
        <v>0.27600000000000002</v>
      </c>
      <c r="M771" s="35"/>
      <c r="N771" s="35">
        <v>106.44</v>
      </c>
      <c r="O771" s="35"/>
      <c r="P771" s="35"/>
      <c r="Q771" s="35"/>
      <c r="R771" s="14"/>
      <c r="S771" s="14"/>
      <c r="T771" s="35"/>
      <c r="U771" s="35"/>
    </row>
    <row r="772" spans="1:22" ht="51" x14ac:dyDescent="0.2">
      <c r="A772" s="1" t="s">
        <v>209</v>
      </c>
      <c r="B772" s="2" t="s">
        <v>10</v>
      </c>
      <c r="C772" s="2" t="s">
        <v>210</v>
      </c>
      <c r="D772" s="2" t="s">
        <v>12</v>
      </c>
      <c r="E772" s="2">
        <v>2020</v>
      </c>
      <c r="F772" s="2" t="s">
        <v>13</v>
      </c>
      <c r="G772" s="2" t="s">
        <v>1667</v>
      </c>
      <c r="H772" s="2" t="s">
        <v>1669</v>
      </c>
      <c r="I772" s="1" t="s">
        <v>14</v>
      </c>
      <c r="J772" s="1" t="s">
        <v>509</v>
      </c>
      <c r="L772" s="5"/>
      <c r="M772" s="35"/>
      <c r="N772" s="35"/>
      <c r="O772" s="35"/>
      <c r="P772" s="35"/>
      <c r="Q772" s="35"/>
      <c r="R772" s="35"/>
      <c r="S772" s="35"/>
      <c r="T772" s="35"/>
      <c r="U772" s="35"/>
      <c r="V772" s="60" t="s">
        <v>1735</v>
      </c>
    </row>
    <row r="773" spans="1:22" ht="51" x14ac:dyDescent="0.2">
      <c r="A773" s="1" t="s">
        <v>209</v>
      </c>
      <c r="B773" s="2" t="s">
        <v>10</v>
      </c>
      <c r="C773" s="2" t="s">
        <v>210</v>
      </c>
      <c r="D773" s="2" t="s">
        <v>12</v>
      </c>
      <c r="E773" s="2">
        <v>2020</v>
      </c>
      <c r="F773" s="2" t="s">
        <v>188</v>
      </c>
      <c r="G773" s="2" t="s">
        <v>1667</v>
      </c>
      <c r="H773" s="2" t="s">
        <v>1669</v>
      </c>
      <c r="I773" s="1" t="s">
        <v>14</v>
      </c>
      <c r="J773" s="1" t="s">
        <v>554</v>
      </c>
      <c r="L773" s="34"/>
      <c r="M773" s="35"/>
      <c r="N773" s="35"/>
      <c r="O773" s="35"/>
      <c r="P773" s="35"/>
      <c r="Q773" s="35"/>
      <c r="R773" s="35"/>
      <c r="S773" s="35"/>
      <c r="T773" s="35"/>
      <c r="U773" s="35"/>
      <c r="V773" s="60" t="s">
        <v>1735</v>
      </c>
    </row>
    <row r="774" spans="1:22" ht="38.25" x14ac:dyDescent="0.2">
      <c r="A774" s="1" t="s">
        <v>209</v>
      </c>
      <c r="B774" s="2" t="s">
        <v>10</v>
      </c>
      <c r="C774" s="2" t="s">
        <v>210</v>
      </c>
      <c r="D774" s="2" t="s">
        <v>12</v>
      </c>
      <c r="E774" s="2">
        <v>2020</v>
      </c>
      <c r="F774" s="2" t="s">
        <v>211</v>
      </c>
      <c r="G774" s="2" t="s">
        <v>1667</v>
      </c>
      <c r="H774" s="2" t="s">
        <v>1669</v>
      </c>
      <c r="I774" s="1" t="s">
        <v>14</v>
      </c>
      <c r="J774" s="1" t="s">
        <v>687</v>
      </c>
      <c r="L774" s="34"/>
      <c r="M774" s="35"/>
      <c r="N774" s="35"/>
      <c r="O774" s="35"/>
      <c r="P774" s="35"/>
      <c r="Q774" s="35"/>
      <c r="S774" s="35"/>
      <c r="T774" s="35"/>
      <c r="U774" s="35"/>
      <c r="V774" s="60" t="s">
        <v>1735</v>
      </c>
    </row>
    <row r="775" spans="1:22" ht="51" x14ac:dyDescent="0.2">
      <c r="A775" s="1" t="s">
        <v>209</v>
      </c>
      <c r="B775" s="2" t="s">
        <v>10</v>
      </c>
      <c r="C775" s="2" t="s">
        <v>210</v>
      </c>
      <c r="D775" s="2" t="s">
        <v>12</v>
      </c>
      <c r="E775" s="2">
        <v>2020</v>
      </c>
      <c r="F775" s="2" t="s">
        <v>221</v>
      </c>
      <c r="G775" s="2" t="s">
        <v>1667</v>
      </c>
      <c r="H775" s="2" t="s">
        <v>1669</v>
      </c>
      <c r="I775" s="1" t="s">
        <v>14</v>
      </c>
      <c r="J775" s="1" t="s">
        <v>799</v>
      </c>
      <c r="L775" s="34"/>
      <c r="M775" s="35"/>
      <c r="N775" s="35"/>
      <c r="O775" s="35"/>
      <c r="P775" s="35"/>
      <c r="Q775" s="35"/>
      <c r="S775" s="35"/>
      <c r="T775" s="35"/>
      <c r="U775" s="35"/>
      <c r="V775" s="60" t="s">
        <v>1735</v>
      </c>
    </row>
    <row r="776" spans="1:22" ht="51" x14ac:dyDescent="0.2">
      <c r="A776" s="1" t="s">
        <v>209</v>
      </c>
      <c r="B776" s="2" t="s">
        <v>10</v>
      </c>
      <c r="C776" s="2" t="s">
        <v>210</v>
      </c>
      <c r="D776" s="2" t="s">
        <v>12</v>
      </c>
      <c r="E776" s="2">
        <v>2020</v>
      </c>
      <c r="F776" s="2" t="s">
        <v>276</v>
      </c>
      <c r="G776" s="2" t="s">
        <v>1667</v>
      </c>
      <c r="H776" s="2" t="s">
        <v>1669</v>
      </c>
      <c r="I776" s="1" t="s">
        <v>14</v>
      </c>
      <c r="J776" s="1" t="s">
        <v>1000</v>
      </c>
      <c r="L776" s="34"/>
      <c r="M776" s="35"/>
      <c r="N776" s="35"/>
      <c r="O776" s="35"/>
      <c r="P776" s="35"/>
      <c r="Q776" s="35"/>
      <c r="S776" s="14"/>
      <c r="T776" s="35"/>
      <c r="U776" s="35"/>
      <c r="V776" s="60" t="s">
        <v>1735</v>
      </c>
    </row>
    <row r="777" spans="1:22" ht="51" x14ac:dyDescent="0.2">
      <c r="A777" s="1" t="s">
        <v>209</v>
      </c>
      <c r="B777" s="2" t="s">
        <v>10</v>
      </c>
      <c r="C777" s="2" t="s">
        <v>210</v>
      </c>
      <c r="D777" s="2" t="s">
        <v>12</v>
      </c>
      <c r="E777" s="2">
        <v>2020</v>
      </c>
      <c r="F777" s="2" t="s">
        <v>291</v>
      </c>
      <c r="G777" s="2" t="s">
        <v>1667</v>
      </c>
      <c r="H777" s="2" t="s">
        <v>1669</v>
      </c>
      <c r="I777" s="1" t="s">
        <v>14</v>
      </c>
      <c r="J777" s="1" t="s">
        <v>1190</v>
      </c>
      <c r="L777" s="34"/>
      <c r="M777" s="35"/>
      <c r="N777" s="35"/>
      <c r="O777" s="35"/>
      <c r="P777" s="35"/>
      <c r="Q777" s="35"/>
      <c r="S777" s="14"/>
      <c r="T777" s="35"/>
      <c r="U777" s="35"/>
      <c r="V777" s="60" t="s">
        <v>1735</v>
      </c>
    </row>
    <row r="778" spans="1:22" ht="51" x14ac:dyDescent="0.2">
      <c r="A778" s="1" t="s">
        <v>209</v>
      </c>
      <c r="B778" s="2" t="s">
        <v>10</v>
      </c>
      <c r="C778" s="2" t="s">
        <v>210</v>
      </c>
      <c r="D778" s="2" t="s">
        <v>12</v>
      </c>
      <c r="E778" s="2">
        <v>2020</v>
      </c>
      <c r="F778" s="2" t="s">
        <v>337</v>
      </c>
      <c r="G778" s="2" t="s">
        <v>1667</v>
      </c>
      <c r="H778" s="2" t="s">
        <v>1669</v>
      </c>
      <c r="I778" s="1" t="s">
        <v>14</v>
      </c>
      <c r="J778" s="1" t="s">
        <v>1437</v>
      </c>
      <c r="L778" s="34"/>
      <c r="M778" s="35"/>
      <c r="N778" s="35"/>
      <c r="O778" s="35"/>
      <c r="P778" s="35"/>
      <c r="Q778" s="35"/>
      <c r="S778" s="14"/>
      <c r="T778" s="35"/>
      <c r="U778" s="35"/>
      <c r="V778" s="60" t="s">
        <v>1735</v>
      </c>
    </row>
    <row r="779" spans="1:22" ht="51" x14ac:dyDescent="0.2">
      <c r="A779" s="1" t="s">
        <v>209</v>
      </c>
      <c r="B779" s="2" t="s">
        <v>10</v>
      </c>
      <c r="C779" s="2" t="s">
        <v>210</v>
      </c>
      <c r="D779" s="2" t="s">
        <v>12</v>
      </c>
      <c r="E779" s="2">
        <v>2020</v>
      </c>
      <c r="F779" s="2" t="s">
        <v>364</v>
      </c>
      <c r="G779" s="2" t="s">
        <v>1667</v>
      </c>
      <c r="H779" s="2" t="s">
        <v>1669</v>
      </c>
      <c r="I779" s="1" t="s">
        <v>14</v>
      </c>
      <c r="J779" s="1" t="s">
        <v>1506</v>
      </c>
      <c r="L779" s="34"/>
      <c r="M779" s="35"/>
      <c r="N779" s="35"/>
      <c r="O779" s="35"/>
      <c r="P779" s="35"/>
      <c r="Q779" s="35"/>
      <c r="S779" s="14"/>
      <c r="T779" s="35"/>
      <c r="U779" s="35"/>
      <c r="V779" s="60" t="s">
        <v>1735</v>
      </c>
    </row>
    <row r="780" spans="1:22" ht="51" x14ac:dyDescent="0.2">
      <c r="A780" s="1" t="s">
        <v>209</v>
      </c>
      <c r="B780" s="2" t="s">
        <v>10</v>
      </c>
      <c r="C780" s="2" t="s">
        <v>210</v>
      </c>
      <c r="D780" s="2" t="s">
        <v>12</v>
      </c>
      <c r="E780" s="2">
        <v>2020</v>
      </c>
      <c r="F780" s="2" t="s">
        <v>388</v>
      </c>
      <c r="G780" s="2" t="s">
        <v>1667</v>
      </c>
      <c r="H780" s="2" t="s">
        <v>1669</v>
      </c>
      <c r="I780" s="1" t="s">
        <v>14</v>
      </c>
      <c r="J780" s="1" t="s">
        <v>1643</v>
      </c>
      <c r="L780" s="34"/>
      <c r="M780" s="35"/>
      <c r="N780" s="35"/>
      <c r="O780" s="35"/>
      <c r="P780" s="35"/>
      <c r="Q780" s="35"/>
      <c r="R780" s="41"/>
      <c r="S780" s="35"/>
      <c r="T780" s="35"/>
      <c r="U780" s="35"/>
      <c r="V780" s="60" t="s">
        <v>1735</v>
      </c>
    </row>
    <row r="781" spans="1:22" ht="38.25" x14ac:dyDescent="0.2">
      <c r="A781" s="1" t="s">
        <v>156</v>
      </c>
      <c r="B781" s="2" t="s">
        <v>48</v>
      </c>
      <c r="C781" s="2" t="s">
        <v>157</v>
      </c>
      <c r="D781" s="2" t="s">
        <v>158</v>
      </c>
      <c r="E781" s="2">
        <v>2020</v>
      </c>
      <c r="F781" s="2" t="s">
        <v>13</v>
      </c>
      <c r="G781" s="2" t="s">
        <v>1667</v>
      </c>
      <c r="H781" s="2" t="s">
        <v>1669</v>
      </c>
      <c r="I781" s="1" t="s">
        <v>14</v>
      </c>
      <c r="J781" s="1" t="s">
        <v>503</v>
      </c>
      <c r="L781" s="34">
        <v>0.1142</v>
      </c>
      <c r="M781" s="35"/>
      <c r="N781" s="35"/>
      <c r="O781" s="35"/>
      <c r="P781" s="35"/>
      <c r="Q781" s="35"/>
      <c r="R781" s="35">
        <v>51.46</v>
      </c>
      <c r="S781" s="35"/>
      <c r="T781" s="35"/>
      <c r="U781" s="35"/>
      <c r="V781" s="60" t="s">
        <v>1737</v>
      </c>
    </row>
    <row r="782" spans="1:22" ht="38.25" x14ac:dyDescent="0.2">
      <c r="A782" s="1" t="s">
        <v>156</v>
      </c>
      <c r="B782" s="2" t="s">
        <v>48</v>
      </c>
      <c r="C782" s="2" t="s">
        <v>157</v>
      </c>
      <c r="D782" s="2" t="s">
        <v>158</v>
      </c>
      <c r="E782" s="2">
        <v>2020</v>
      </c>
      <c r="F782" s="2" t="s">
        <v>188</v>
      </c>
      <c r="G782" s="2" t="s">
        <v>1667</v>
      </c>
      <c r="H782" s="2" t="s">
        <v>1669</v>
      </c>
      <c r="I782" s="1" t="s">
        <v>14</v>
      </c>
      <c r="J782" s="1" t="s">
        <v>583</v>
      </c>
      <c r="L782" s="34">
        <v>0.1144</v>
      </c>
      <c r="M782" s="35"/>
      <c r="N782" s="35"/>
      <c r="O782" s="35"/>
      <c r="P782" s="35"/>
      <c r="Q782" s="35"/>
      <c r="R782" s="39">
        <v>28.81</v>
      </c>
      <c r="S782" s="35"/>
      <c r="T782" s="35"/>
      <c r="U782" s="35"/>
      <c r="V782" s="60" t="s">
        <v>1737</v>
      </c>
    </row>
    <row r="783" spans="1:22" ht="38.25" x14ac:dyDescent="0.2">
      <c r="A783" s="1" t="s">
        <v>156</v>
      </c>
      <c r="B783" s="2" t="s">
        <v>48</v>
      </c>
      <c r="C783" s="2" t="s">
        <v>157</v>
      </c>
      <c r="D783" s="2" t="s">
        <v>158</v>
      </c>
      <c r="E783" s="2">
        <v>2020</v>
      </c>
      <c r="F783" s="2" t="s">
        <v>203</v>
      </c>
      <c r="G783" s="2" t="s">
        <v>1667</v>
      </c>
      <c r="H783" s="2" t="s">
        <v>1669</v>
      </c>
      <c r="I783" s="1" t="s">
        <v>14</v>
      </c>
      <c r="J783" s="1" t="s">
        <v>668</v>
      </c>
      <c r="L783" s="34">
        <v>0.114</v>
      </c>
      <c r="M783" s="35"/>
      <c r="N783" s="35"/>
      <c r="O783" s="35"/>
      <c r="P783" s="35"/>
      <c r="Q783" s="35"/>
      <c r="R783" s="39">
        <v>44.47</v>
      </c>
      <c r="S783" s="35"/>
      <c r="T783" s="35"/>
      <c r="U783" s="35"/>
      <c r="V783" s="60" t="s">
        <v>1737</v>
      </c>
    </row>
    <row r="784" spans="1:22" ht="38.25" x14ac:dyDescent="0.2">
      <c r="A784" s="1" t="s">
        <v>156</v>
      </c>
      <c r="B784" s="2" t="s">
        <v>48</v>
      </c>
      <c r="C784" s="2" t="s">
        <v>157</v>
      </c>
      <c r="D784" s="2" t="s">
        <v>158</v>
      </c>
      <c r="E784" s="2">
        <v>2020</v>
      </c>
      <c r="F784" s="2" t="s">
        <v>211</v>
      </c>
      <c r="G784" s="2" t="s">
        <v>1667</v>
      </c>
      <c r="H784" s="2" t="s">
        <v>1669</v>
      </c>
      <c r="I784" s="1" t="s">
        <v>14</v>
      </c>
      <c r="J784" s="1" t="s">
        <v>747</v>
      </c>
      <c r="L784" s="34">
        <v>0.114</v>
      </c>
      <c r="M784" s="35"/>
      <c r="N784" s="35"/>
      <c r="O784" s="35"/>
      <c r="P784" s="35"/>
      <c r="Q784" s="35"/>
      <c r="R784" s="39">
        <v>20.61</v>
      </c>
      <c r="S784" s="35"/>
      <c r="T784" s="35"/>
      <c r="U784" s="35"/>
      <c r="V784" s="60" t="s">
        <v>1737</v>
      </c>
    </row>
    <row r="785" spans="1:22" ht="38.25" x14ac:dyDescent="0.2">
      <c r="A785" s="1" t="s">
        <v>156</v>
      </c>
      <c r="B785" s="2" t="s">
        <v>48</v>
      </c>
      <c r="C785" s="2" t="s">
        <v>157</v>
      </c>
      <c r="D785" s="2" t="s">
        <v>158</v>
      </c>
      <c r="E785" s="2">
        <v>2020</v>
      </c>
      <c r="F785" s="2" t="s">
        <v>221</v>
      </c>
      <c r="G785" s="2" t="s">
        <v>1667</v>
      </c>
      <c r="H785" s="2" t="s">
        <v>1669</v>
      </c>
      <c r="I785" s="1" t="s">
        <v>14</v>
      </c>
      <c r="J785" s="1" t="s">
        <v>829</v>
      </c>
      <c r="L785" s="34">
        <v>0.114</v>
      </c>
      <c r="M785" s="35"/>
      <c r="N785" s="35"/>
      <c r="O785" s="35"/>
      <c r="P785" s="35"/>
      <c r="Q785" s="35"/>
      <c r="R785" s="39">
        <v>51.67</v>
      </c>
      <c r="S785" s="14"/>
      <c r="T785" s="35"/>
      <c r="U785" s="35"/>
      <c r="V785" s="60" t="s">
        <v>1737</v>
      </c>
    </row>
    <row r="786" spans="1:22" ht="38.25" x14ac:dyDescent="0.2">
      <c r="A786" s="1" t="s">
        <v>156</v>
      </c>
      <c r="B786" s="2" t="s">
        <v>48</v>
      </c>
      <c r="C786" s="2" t="s">
        <v>157</v>
      </c>
      <c r="D786" s="2" t="s">
        <v>158</v>
      </c>
      <c r="E786" s="2">
        <v>2020</v>
      </c>
      <c r="F786" s="2" t="s">
        <v>256</v>
      </c>
      <c r="G786" s="2" t="s">
        <v>1667</v>
      </c>
      <c r="H786" s="2" t="s">
        <v>1669</v>
      </c>
      <c r="I786" s="1" t="s">
        <v>14</v>
      </c>
      <c r="J786" s="1" t="s">
        <v>927</v>
      </c>
      <c r="L786" s="34">
        <v>0.114</v>
      </c>
      <c r="M786" s="35"/>
      <c r="N786" s="35"/>
      <c r="O786" s="35"/>
      <c r="P786" s="35"/>
      <c r="Q786" s="35"/>
      <c r="R786" s="39">
        <v>48.58</v>
      </c>
      <c r="S786" s="14"/>
      <c r="T786" s="35"/>
      <c r="U786" s="35"/>
      <c r="V786" s="60" t="s">
        <v>1737</v>
      </c>
    </row>
    <row r="787" spans="1:22" ht="38.25" x14ac:dyDescent="0.2">
      <c r="A787" s="1" t="s">
        <v>156</v>
      </c>
      <c r="B787" s="2" t="s">
        <v>48</v>
      </c>
      <c r="C787" s="2" t="s">
        <v>157</v>
      </c>
      <c r="D787" s="2" t="s">
        <v>158</v>
      </c>
      <c r="E787" s="2">
        <v>2020</v>
      </c>
      <c r="F787" s="2" t="s">
        <v>276</v>
      </c>
      <c r="G787" s="2" t="s">
        <v>1667</v>
      </c>
      <c r="H787" s="2" t="s">
        <v>1669</v>
      </c>
      <c r="I787" s="1" t="s">
        <v>14</v>
      </c>
      <c r="J787" s="1" t="s">
        <v>1054</v>
      </c>
      <c r="L787" s="34">
        <v>0.114</v>
      </c>
      <c r="M787" s="35"/>
      <c r="N787" s="35"/>
      <c r="O787" s="35"/>
      <c r="P787" s="35"/>
      <c r="Q787" s="35"/>
      <c r="R787" s="39">
        <v>37.21</v>
      </c>
      <c r="S787" s="14"/>
      <c r="T787" s="35"/>
      <c r="U787" s="35"/>
      <c r="V787" s="60" t="s">
        <v>1737</v>
      </c>
    </row>
    <row r="788" spans="1:22" ht="38.25" x14ac:dyDescent="0.2">
      <c r="A788" s="1" t="s">
        <v>156</v>
      </c>
      <c r="B788" s="2" t="s">
        <v>48</v>
      </c>
      <c r="C788" s="2" t="s">
        <v>157</v>
      </c>
      <c r="D788" s="2" t="s">
        <v>158</v>
      </c>
      <c r="E788" s="2">
        <v>2020</v>
      </c>
      <c r="F788" s="2" t="s">
        <v>291</v>
      </c>
      <c r="G788" s="2" t="s">
        <v>1667</v>
      </c>
      <c r="H788" s="2" t="s">
        <v>1669</v>
      </c>
      <c r="I788" s="1" t="s">
        <v>14</v>
      </c>
      <c r="J788" s="1" t="s">
        <v>1173</v>
      </c>
      <c r="L788" s="34">
        <v>0.114</v>
      </c>
      <c r="M788" s="35"/>
      <c r="N788" s="35"/>
      <c r="O788" s="35"/>
      <c r="P788" s="35"/>
      <c r="Q788" s="35"/>
      <c r="R788" s="39">
        <v>40.020000000000003</v>
      </c>
      <c r="S788" s="14"/>
      <c r="T788" s="35"/>
      <c r="U788" s="35"/>
      <c r="V788" s="60" t="s">
        <v>1737</v>
      </c>
    </row>
    <row r="789" spans="1:22" ht="38.25" x14ac:dyDescent="0.2">
      <c r="A789" s="1" t="s">
        <v>156</v>
      </c>
      <c r="B789" s="2" t="s">
        <v>48</v>
      </c>
      <c r="C789" s="2" t="s">
        <v>157</v>
      </c>
      <c r="D789" s="2" t="s">
        <v>158</v>
      </c>
      <c r="E789" s="2">
        <v>2020</v>
      </c>
      <c r="F789" s="2" t="s">
        <v>311</v>
      </c>
      <c r="G789" s="2" t="s">
        <v>1667</v>
      </c>
      <c r="H789" s="2" t="s">
        <v>1669</v>
      </c>
      <c r="I789" s="1" t="s">
        <v>14</v>
      </c>
      <c r="J789" s="1" t="s">
        <v>1267</v>
      </c>
      <c r="L789" s="34">
        <v>0.114</v>
      </c>
      <c r="M789" s="35"/>
      <c r="N789" s="35"/>
      <c r="O789" s="35"/>
      <c r="P789" s="35"/>
      <c r="Q789" s="35"/>
      <c r="R789" s="39">
        <v>56.95</v>
      </c>
      <c r="S789" s="14"/>
      <c r="T789" s="35"/>
      <c r="U789" s="35"/>
      <c r="V789" s="60" t="s">
        <v>1737</v>
      </c>
    </row>
    <row r="790" spans="1:22" ht="38.25" x14ac:dyDescent="0.2">
      <c r="A790" s="1" t="s">
        <v>156</v>
      </c>
      <c r="B790" s="2" t="s">
        <v>48</v>
      </c>
      <c r="C790" s="2" t="s">
        <v>157</v>
      </c>
      <c r="D790" s="2" t="s">
        <v>158</v>
      </c>
      <c r="E790" s="2">
        <v>2020</v>
      </c>
      <c r="F790" s="2" t="s">
        <v>337</v>
      </c>
      <c r="G790" s="2" t="s">
        <v>1667</v>
      </c>
      <c r="H790" s="2" t="s">
        <v>1669</v>
      </c>
      <c r="I790" s="1" t="s">
        <v>14</v>
      </c>
      <c r="J790" s="1" t="s">
        <v>1436</v>
      </c>
      <c r="L790" s="34">
        <v>0.114</v>
      </c>
      <c r="M790" s="35"/>
      <c r="N790" s="35"/>
      <c r="O790" s="35"/>
      <c r="P790" s="35"/>
      <c r="Q790" s="35"/>
      <c r="R790" s="39">
        <v>38.76</v>
      </c>
      <c r="S790" s="14"/>
      <c r="T790" s="35"/>
      <c r="U790" s="35"/>
      <c r="V790" s="60" t="s">
        <v>1737</v>
      </c>
    </row>
    <row r="791" spans="1:22" ht="38.25" x14ac:dyDescent="0.2">
      <c r="A791" s="1" t="s">
        <v>156</v>
      </c>
      <c r="B791" s="2" t="s">
        <v>48</v>
      </c>
      <c r="C791" s="2" t="s">
        <v>157</v>
      </c>
      <c r="D791" s="2" t="s">
        <v>158</v>
      </c>
      <c r="E791" s="2">
        <v>2020</v>
      </c>
      <c r="F791" s="2" t="s">
        <v>364</v>
      </c>
      <c r="G791" s="2" t="s">
        <v>1667</v>
      </c>
      <c r="H791" s="2" t="s">
        <v>1669</v>
      </c>
      <c r="I791" s="1" t="s">
        <v>14</v>
      </c>
      <c r="J791" s="1" t="s">
        <v>1501</v>
      </c>
      <c r="L791" s="34">
        <v>0.114</v>
      </c>
      <c r="M791" s="35"/>
      <c r="N791" s="35"/>
      <c r="O791" s="35"/>
      <c r="P791" s="35"/>
      <c r="Q791" s="35"/>
      <c r="R791" s="39">
        <v>39.97</v>
      </c>
      <c r="S791" s="14"/>
      <c r="T791" s="35"/>
      <c r="U791" s="35"/>
      <c r="V791" s="60" t="s">
        <v>1737</v>
      </c>
    </row>
    <row r="792" spans="1:22" ht="38.25" x14ac:dyDescent="0.2">
      <c r="A792" s="1" t="s">
        <v>156</v>
      </c>
      <c r="B792" s="2" t="s">
        <v>48</v>
      </c>
      <c r="C792" s="2" t="s">
        <v>157</v>
      </c>
      <c r="D792" s="2" t="s">
        <v>158</v>
      </c>
      <c r="E792" s="2">
        <v>2020</v>
      </c>
      <c r="F792" s="2" t="s">
        <v>388</v>
      </c>
      <c r="G792" s="2" t="s">
        <v>1667</v>
      </c>
      <c r="H792" s="2" t="s">
        <v>1669</v>
      </c>
      <c r="I792" s="1" t="s">
        <v>14</v>
      </c>
      <c r="J792" s="1" t="s">
        <v>1622</v>
      </c>
      <c r="L792" s="34">
        <v>0.113</v>
      </c>
      <c r="M792" s="35"/>
      <c r="N792" s="35"/>
      <c r="O792" s="35"/>
      <c r="P792" s="35"/>
      <c r="Q792" s="35"/>
      <c r="R792" s="39">
        <v>30.45</v>
      </c>
      <c r="S792" s="35"/>
      <c r="T792" s="35"/>
      <c r="U792" s="35"/>
      <c r="V792" s="60" t="s">
        <v>1737</v>
      </c>
    </row>
    <row r="793" spans="1:22" ht="102" x14ac:dyDescent="0.2">
      <c r="A793" s="1" t="s">
        <v>1388</v>
      </c>
      <c r="B793" s="2" t="s">
        <v>196</v>
      </c>
      <c r="C793" s="2" t="s">
        <v>1389</v>
      </c>
      <c r="D793" s="2" t="s">
        <v>36</v>
      </c>
      <c r="E793" s="2">
        <v>2020</v>
      </c>
      <c r="F793" s="2" t="s">
        <v>337</v>
      </c>
      <c r="G793" s="2" t="s">
        <v>1669</v>
      </c>
      <c r="H793" s="2" t="s">
        <v>1669</v>
      </c>
      <c r="I793" s="1" t="s">
        <v>1390</v>
      </c>
      <c r="J793" s="1" t="s">
        <v>1391</v>
      </c>
      <c r="L793" s="34">
        <v>3.3000000000000002E-2</v>
      </c>
      <c r="M793" s="35"/>
      <c r="N793" s="35">
        <v>393.3</v>
      </c>
      <c r="O793" s="35"/>
      <c r="P793" s="35"/>
      <c r="Q793" s="35"/>
      <c r="R793" s="14"/>
      <c r="S793" s="14"/>
      <c r="T793" s="35"/>
      <c r="U793" s="35"/>
      <c r="V793" s="60" t="s">
        <v>1699</v>
      </c>
    </row>
    <row r="794" spans="1:22" ht="25.5" x14ac:dyDescent="0.2">
      <c r="A794" s="1" t="s">
        <v>413</v>
      </c>
      <c r="B794" s="2" t="s">
        <v>228</v>
      </c>
      <c r="C794" s="2" t="s">
        <v>414</v>
      </c>
      <c r="D794" s="2" t="s">
        <v>415</v>
      </c>
      <c r="E794" s="2">
        <v>2020</v>
      </c>
      <c r="F794" s="2" t="s">
        <v>291</v>
      </c>
      <c r="G794" s="2" t="s">
        <v>1667</v>
      </c>
      <c r="H794" s="2" t="s">
        <v>1669</v>
      </c>
      <c r="I794" s="1" t="s">
        <v>14</v>
      </c>
      <c r="J794" s="1" t="s">
        <v>1158</v>
      </c>
      <c r="L794" s="34" t="s">
        <v>1670</v>
      </c>
      <c r="M794" s="35"/>
      <c r="N794" s="35"/>
      <c r="O794" s="35"/>
      <c r="P794" s="35"/>
      <c r="Q794" s="35"/>
      <c r="R794" s="14"/>
      <c r="S794" s="14"/>
      <c r="T794" s="35"/>
      <c r="U794" s="35"/>
      <c r="V794" s="60" t="s">
        <v>1683</v>
      </c>
    </row>
    <row r="795" spans="1:22" ht="38.25" x14ac:dyDescent="0.2">
      <c r="A795" s="1" t="s">
        <v>193</v>
      </c>
      <c r="B795" s="2" t="s">
        <v>194</v>
      </c>
      <c r="C795" s="2" t="s">
        <v>195</v>
      </c>
      <c r="D795" s="2" t="s">
        <v>92</v>
      </c>
      <c r="E795" s="2">
        <v>2020</v>
      </c>
      <c r="F795" s="2" t="s">
        <v>188</v>
      </c>
      <c r="G795" s="2" t="s">
        <v>1667</v>
      </c>
      <c r="H795" s="2" t="s">
        <v>1669</v>
      </c>
      <c r="I795" s="1" t="s">
        <v>14</v>
      </c>
      <c r="J795" s="1" t="s">
        <v>596</v>
      </c>
      <c r="L795" s="34" t="s">
        <v>1670</v>
      </c>
      <c r="M795" s="35"/>
      <c r="N795" s="35"/>
      <c r="O795" s="35"/>
      <c r="P795" s="35"/>
      <c r="Q795" s="43">
        <v>65</v>
      </c>
      <c r="R795" s="14"/>
      <c r="S795" s="35"/>
      <c r="T795" s="35"/>
      <c r="U795" s="35"/>
      <c r="V795" s="60" t="s">
        <v>1699</v>
      </c>
    </row>
    <row r="796" spans="1:22" ht="38.25" x14ac:dyDescent="0.2">
      <c r="A796" s="1" t="s">
        <v>193</v>
      </c>
      <c r="B796" s="2" t="s">
        <v>194</v>
      </c>
      <c r="C796" s="2" t="s">
        <v>195</v>
      </c>
      <c r="D796" s="2" t="s">
        <v>92</v>
      </c>
      <c r="E796" s="2">
        <v>2020</v>
      </c>
      <c r="F796" s="2" t="s">
        <v>203</v>
      </c>
      <c r="G796" s="2" t="s">
        <v>1667</v>
      </c>
      <c r="H796" s="2" t="s">
        <v>1669</v>
      </c>
      <c r="I796" s="1" t="s">
        <v>14</v>
      </c>
      <c r="J796" s="1" t="s">
        <v>672</v>
      </c>
      <c r="L796" s="34" t="s">
        <v>1670</v>
      </c>
      <c r="M796" s="35"/>
      <c r="N796" s="35"/>
      <c r="O796" s="35"/>
      <c r="P796" s="35"/>
      <c r="Q796" s="43">
        <v>70</v>
      </c>
      <c r="R796" s="14"/>
      <c r="S796" s="35"/>
      <c r="T796" s="35"/>
      <c r="U796" s="35"/>
      <c r="V796" s="60" t="s">
        <v>1699</v>
      </c>
    </row>
    <row r="797" spans="1:22" ht="38.25" x14ac:dyDescent="0.2">
      <c r="A797" s="1" t="s">
        <v>193</v>
      </c>
      <c r="B797" s="2" t="s">
        <v>194</v>
      </c>
      <c r="C797" s="2" t="s">
        <v>195</v>
      </c>
      <c r="D797" s="2" t="s">
        <v>92</v>
      </c>
      <c r="E797" s="2">
        <v>2020</v>
      </c>
      <c r="F797" s="2" t="s">
        <v>221</v>
      </c>
      <c r="G797" s="2" t="s">
        <v>1667</v>
      </c>
      <c r="H797" s="2" t="s">
        <v>1669</v>
      </c>
      <c r="I797" s="1" t="s">
        <v>14</v>
      </c>
      <c r="J797" s="1" t="s">
        <v>824</v>
      </c>
      <c r="L797" s="34" t="s">
        <v>1670</v>
      </c>
      <c r="M797" s="35"/>
      <c r="N797" s="35"/>
      <c r="O797" s="35"/>
      <c r="P797" s="35"/>
      <c r="Q797" s="35">
        <v>61.54</v>
      </c>
      <c r="R797" s="14"/>
      <c r="S797" s="14"/>
      <c r="T797" s="35"/>
      <c r="U797" s="35"/>
      <c r="V797" s="60" t="s">
        <v>1699</v>
      </c>
    </row>
    <row r="798" spans="1:22" ht="38.25" x14ac:dyDescent="0.2">
      <c r="A798" s="1" t="s">
        <v>193</v>
      </c>
      <c r="B798" s="2" t="s">
        <v>194</v>
      </c>
      <c r="C798" s="2" t="s">
        <v>195</v>
      </c>
      <c r="D798" s="2" t="s">
        <v>92</v>
      </c>
      <c r="E798" s="2">
        <v>2020</v>
      </c>
      <c r="F798" s="2" t="s">
        <v>276</v>
      </c>
      <c r="G798" s="2" t="s">
        <v>1667</v>
      </c>
      <c r="H798" s="2" t="s">
        <v>1669</v>
      </c>
      <c r="I798" s="1" t="s">
        <v>14</v>
      </c>
      <c r="J798" s="1" t="s">
        <v>1023</v>
      </c>
      <c r="L798" s="34" t="s">
        <v>1670</v>
      </c>
      <c r="M798" s="35"/>
      <c r="N798" s="35"/>
      <c r="O798" s="35"/>
      <c r="P798" s="35"/>
      <c r="Q798" s="43">
        <v>63</v>
      </c>
      <c r="R798" s="14"/>
      <c r="S798" s="14"/>
      <c r="T798" s="35"/>
      <c r="U798" s="35"/>
      <c r="V798" s="60" t="s">
        <v>1699</v>
      </c>
    </row>
    <row r="799" spans="1:22" ht="38.25" x14ac:dyDescent="0.2">
      <c r="A799" s="1" t="s">
        <v>193</v>
      </c>
      <c r="B799" s="2" t="s">
        <v>194</v>
      </c>
      <c r="C799" s="2" t="s">
        <v>195</v>
      </c>
      <c r="D799" s="2" t="s">
        <v>92</v>
      </c>
      <c r="E799" s="2">
        <v>2020</v>
      </c>
      <c r="F799" s="2" t="s">
        <v>311</v>
      </c>
      <c r="G799" s="2" t="s">
        <v>1667</v>
      </c>
      <c r="H799" s="2" t="s">
        <v>1669</v>
      </c>
      <c r="I799" s="1" t="s">
        <v>14</v>
      </c>
      <c r="J799" s="1" t="s">
        <v>1244</v>
      </c>
      <c r="L799" s="34" t="s">
        <v>1670</v>
      </c>
      <c r="M799" s="35"/>
      <c r="N799" s="35"/>
      <c r="O799" s="35"/>
      <c r="P799" s="35"/>
      <c r="Q799" s="43">
        <v>70</v>
      </c>
      <c r="R799" s="14"/>
      <c r="S799" s="14"/>
      <c r="T799" s="35"/>
      <c r="U799" s="35"/>
      <c r="V799" s="60" t="s">
        <v>1699</v>
      </c>
    </row>
    <row r="800" spans="1:22" ht="38.25" x14ac:dyDescent="0.2">
      <c r="A800" s="1" t="s">
        <v>193</v>
      </c>
      <c r="B800" s="2" t="s">
        <v>194</v>
      </c>
      <c r="C800" s="2" t="s">
        <v>195</v>
      </c>
      <c r="D800" s="2" t="s">
        <v>92</v>
      </c>
      <c r="E800" s="2">
        <v>2020</v>
      </c>
      <c r="F800" s="2" t="s">
        <v>337</v>
      </c>
      <c r="G800" s="2" t="s">
        <v>1667</v>
      </c>
      <c r="H800" s="2" t="s">
        <v>1669</v>
      </c>
      <c r="I800" s="1" t="s">
        <v>14</v>
      </c>
      <c r="J800" s="1" t="s">
        <v>1407</v>
      </c>
      <c r="L800" s="34" t="s">
        <v>1670</v>
      </c>
      <c r="M800" s="35"/>
      <c r="N800" s="35">
        <v>74.33</v>
      </c>
      <c r="O800" s="35"/>
      <c r="P800" s="35"/>
      <c r="Q800" s="35"/>
      <c r="R800" s="14"/>
      <c r="S800" s="14"/>
      <c r="T800" s="35"/>
      <c r="U800" s="35"/>
      <c r="V800" s="60" t="s">
        <v>1699</v>
      </c>
    </row>
    <row r="801" spans="1:22" ht="38.25" x14ac:dyDescent="0.2">
      <c r="A801" s="1" t="s">
        <v>193</v>
      </c>
      <c r="B801" s="2" t="s">
        <v>194</v>
      </c>
      <c r="C801" s="2" t="s">
        <v>195</v>
      </c>
      <c r="D801" s="2" t="s">
        <v>92</v>
      </c>
      <c r="E801" s="2">
        <v>2020</v>
      </c>
      <c r="F801" s="2" t="s">
        <v>388</v>
      </c>
      <c r="G801" s="2" t="s">
        <v>1667</v>
      </c>
      <c r="H801" s="2" t="s">
        <v>1669</v>
      </c>
      <c r="I801" s="1" t="s">
        <v>14</v>
      </c>
      <c r="J801" s="1" t="s">
        <v>1648</v>
      </c>
      <c r="L801" s="34" t="s">
        <v>1670</v>
      </c>
      <c r="M801" s="35"/>
      <c r="N801" s="35">
        <v>70.459999999999994</v>
      </c>
      <c r="O801" s="35"/>
      <c r="P801" s="35"/>
      <c r="Q801" s="35"/>
      <c r="R801" s="35"/>
      <c r="S801" s="35"/>
      <c r="T801" s="35"/>
      <c r="U801" s="35"/>
      <c r="V801" s="60" t="s">
        <v>1699</v>
      </c>
    </row>
    <row r="802" spans="1:22" ht="76.5" x14ac:dyDescent="0.2">
      <c r="A802" s="1" t="s">
        <v>1372</v>
      </c>
      <c r="B802" s="2" t="s">
        <v>196</v>
      </c>
      <c r="C802" s="2" t="s">
        <v>1373</v>
      </c>
      <c r="D802" s="2" t="s">
        <v>100</v>
      </c>
      <c r="E802" s="2">
        <v>2020</v>
      </c>
      <c r="F802" s="2" t="s">
        <v>337</v>
      </c>
      <c r="G802" s="2" t="s">
        <v>1669</v>
      </c>
      <c r="H802" s="2" t="s">
        <v>1669</v>
      </c>
      <c r="I802" s="1" t="s">
        <v>1374</v>
      </c>
      <c r="J802" s="1" t="s">
        <v>1375</v>
      </c>
      <c r="L802" s="34">
        <v>0.20399999999999999</v>
      </c>
      <c r="M802" s="35"/>
      <c r="N802" s="35">
        <f>58.61+167.62</f>
        <v>226.23000000000002</v>
      </c>
      <c r="O802" s="35"/>
      <c r="P802" s="35"/>
      <c r="Q802" s="35"/>
      <c r="R802" s="14"/>
      <c r="S802" s="14"/>
      <c r="T802" s="35"/>
      <c r="U802" s="35"/>
    </row>
    <row r="803" spans="1:22" ht="38.25" x14ac:dyDescent="0.2">
      <c r="A803" s="1" t="s">
        <v>417</v>
      </c>
      <c r="B803" s="2" t="s">
        <v>228</v>
      </c>
      <c r="C803" s="2" t="s">
        <v>418</v>
      </c>
      <c r="D803" s="2" t="s">
        <v>246</v>
      </c>
      <c r="E803" s="2">
        <v>2020</v>
      </c>
      <c r="F803" s="2" t="s">
        <v>13</v>
      </c>
      <c r="G803" s="2" t="s">
        <v>1669</v>
      </c>
      <c r="H803" s="2" t="s">
        <v>1669</v>
      </c>
      <c r="I803" s="1" t="s">
        <v>521</v>
      </c>
      <c r="J803" s="1" t="s">
        <v>522</v>
      </c>
      <c r="L803" s="34" t="s">
        <v>1670</v>
      </c>
      <c r="M803" s="35"/>
      <c r="N803" s="35"/>
      <c r="O803" s="35"/>
      <c r="P803" s="35"/>
      <c r="Q803" s="35"/>
      <c r="R803" s="35"/>
      <c r="S803" s="35"/>
      <c r="T803" s="35"/>
      <c r="U803" s="35"/>
      <c r="V803" s="60" t="s">
        <v>1683</v>
      </c>
    </row>
    <row r="804" spans="1:22" ht="51" x14ac:dyDescent="0.2">
      <c r="A804" s="1" t="s">
        <v>417</v>
      </c>
      <c r="B804" s="2" t="s">
        <v>228</v>
      </c>
      <c r="C804" s="2" t="s">
        <v>418</v>
      </c>
      <c r="D804" s="2" t="s">
        <v>246</v>
      </c>
      <c r="E804" s="2">
        <v>2020</v>
      </c>
      <c r="F804" s="2" t="s">
        <v>364</v>
      </c>
      <c r="G804" s="2" t="s">
        <v>1669</v>
      </c>
      <c r="H804" s="2" t="s">
        <v>1669</v>
      </c>
      <c r="I804" s="1" t="s">
        <v>1511</v>
      </c>
      <c r="J804" s="1" t="s">
        <v>1512</v>
      </c>
      <c r="L804" s="34" t="s">
        <v>1670</v>
      </c>
      <c r="M804" s="35"/>
      <c r="N804" s="35"/>
      <c r="O804" s="35"/>
      <c r="P804" s="35"/>
      <c r="Q804" s="35"/>
      <c r="R804" s="14"/>
      <c r="S804" s="14"/>
      <c r="T804" s="35"/>
      <c r="U804" s="35">
        <v>12</v>
      </c>
      <c r="V804" s="60" t="s">
        <v>1682</v>
      </c>
    </row>
    <row r="805" spans="1:22" ht="25.5" x14ac:dyDescent="0.2">
      <c r="A805" s="1" t="s">
        <v>133</v>
      </c>
      <c r="B805" s="2" t="s">
        <v>38</v>
      </c>
      <c r="C805" s="2" t="s">
        <v>134</v>
      </c>
      <c r="D805" s="2" t="s">
        <v>85</v>
      </c>
      <c r="E805" s="2">
        <v>2020</v>
      </c>
      <c r="F805" s="2" t="s">
        <v>13</v>
      </c>
      <c r="G805" s="2" t="s">
        <v>1667</v>
      </c>
      <c r="H805" s="2" t="s">
        <v>1669</v>
      </c>
      <c r="I805" s="1" t="s">
        <v>14</v>
      </c>
      <c r="J805" s="1" t="s">
        <v>519</v>
      </c>
      <c r="L805" s="34">
        <v>0.14199999999999999</v>
      </c>
      <c r="M805" s="3"/>
      <c r="N805" s="35"/>
      <c r="O805" s="35"/>
      <c r="P805" s="35"/>
      <c r="Q805" s="35"/>
      <c r="R805" s="35">
        <v>9.35</v>
      </c>
      <c r="S805" s="35"/>
      <c r="T805" s="35"/>
      <c r="U805" s="3"/>
    </row>
    <row r="806" spans="1:22" ht="25.5" x14ac:dyDescent="0.2">
      <c r="A806" s="1" t="s">
        <v>133</v>
      </c>
      <c r="B806" s="2" t="s">
        <v>38</v>
      </c>
      <c r="C806" s="2" t="s">
        <v>134</v>
      </c>
      <c r="D806" s="2" t="s">
        <v>85</v>
      </c>
      <c r="E806" s="2">
        <v>2020</v>
      </c>
      <c r="F806" s="2" t="s">
        <v>188</v>
      </c>
      <c r="G806" s="2" t="s">
        <v>1667</v>
      </c>
      <c r="H806" s="2" t="s">
        <v>1669</v>
      </c>
      <c r="I806" s="1" t="s">
        <v>14</v>
      </c>
      <c r="J806" s="1" t="s">
        <v>580</v>
      </c>
      <c r="L806" s="34">
        <v>0.14699999999999999</v>
      </c>
      <c r="M806" s="3"/>
      <c r="N806" s="49"/>
      <c r="O806" s="35"/>
      <c r="P806" s="35"/>
      <c r="Q806" s="35"/>
      <c r="R806" s="39">
        <v>27</v>
      </c>
      <c r="S806" s="35"/>
      <c r="T806" s="35"/>
      <c r="U806" s="3"/>
    </row>
    <row r="807" spans="1:22" ht="25.5" x14ac:dyDescent="0.2">
      <c r="A807" s="1" t="s">
        <v>133</v>
      </c>
      <c r="B807" s="2" t="s">
        <v>38</v>
      </c>
      <c r="C807" s="2" t="s">
        <v>134</v>
      </c>
      <c r="D807" s="2" t="s">
        <v>85</v>
      </c>
      <c r="E807" s="2">
        <v>2020</v>
      </c>
      <c r="F807" s="2" t="s">
        <v>203</v>
      </c>
      <c r="G807" s="2" t="s">
        <v>1667</v>
      </c>
      <c r="H807" s="2" t="s">
        <v>1669</v>
      </c>
      <c r="I807" s="1" t="s">
        <v>14</v>
      </c>
      <c r="J807" s="1" t="s">
        <v>626</v>
      </c>
      <c r="L807" s="34">
        <v>0.14799999999999999</v>
      </c>
      <c r="M807" s="3"/>
      <c r="N807" s="35"/>
      <c r="O807" s="35"/>
      <c r="P807" s="35"/>
      <c r="Q807" s="35"/>
      <c r="R807" s="39">
        <v>45.22</v>
      </c>
      <c r="S807" s="35"/>
      <c r="T807" s="35"/>
      <c r="U807" s="3"/>
    </row>
    <row r="808" spans="1:22" ht="25.5" x14ac:dyDescent="0.2">
      <c r="A808" s="1" t="s">
        <v>133</v>
      </c>
      <c r="B808" s="2" t="s">
        <v>38</v>
      </c>
      <c r="C808" s="2" t="s">
        <v>134</v>
      </c>
      <c r="D808" s="2" t="s">
        <v>85</v>
      </c>
      <c r="E808" s="2">
        <v>2020</v>
      </c>
      <c r="F808" s="2" t="s">
        <v>211</v>
      </c>
      <c r="G808" s="2" t="s">
        <v>1667</v>
      </c>
      <c r="H808" s="2" t="s">
        <v>1669</v>
      </c>
      <c r="I808" s="1" t="s">
        <v>14</v>
      </c>
      <c r="J808" s="1" t="s">
        <v>719</v>
      </c>
      <c r="L808" s="34">
        <v>0.16700000000000001</v>
      </c>
      <c r="M808" s="3"/>
      <c r="N808" s="35"/>
      <c r="O808" s="35"/>
      <c r="P808" s="35"/>
      <c r="Q808" s="35"/>
      <c r="R808" s="39">
        <v>23.44</v>
      </c>
      <c r="S808" s="35"/>
      <c r="T808" s="35"/>
      <c r="U808" s="3"/>
    </row>
    <row r="809" spans="1:22" ht="25.5" x14ac:dyDescent="0.2">
      <c r="A809" s="1" t="s">
        <v>133</v>
      </c>
      <c r="B809" s="2" t="s">
        <v>38</v>
      </c>
      <c r="C809" s="2" t="s">
        <v>134</v>
      </c>
      <c r="D809" s="2" t="s">
        <v>85</v>
      </c>
      <c r="E809" s="2">
        <v>2020</v>
      </c>
      <c r="F809" s="2" t="s">
        <v>221</v>
      </c>
      <c r="G809" s="2" t="s">
        <v>1667</v>
      </c>
      <c r="H809" s="2" t="s">
        <v>1669</v>
      </c>
      <c r="I809" s="1" t="s">
        <v>14</v>
      </c>
      <c r="J809" s="1" t="s">
        <v>795</v>
      </c>
      <c r="L809" s="34">
        <v>0.14899999999999999</v>
      </c>
      <c r="M809" s="3"/>
      <c r="N809" s="35"/>
      <c r="O809" s="35"/>
      <c r="P809" s="35"/>
      <c r="Q809" s="35"/>
      <c r="R809" s="39">
        <v>28.25</v>
      </c>
      <c r="S809" s="35"/>
      <c r="T809" s="35"/>
      <c r="U809" s="3"/>
    </row>
    <row r="810" spans="1:22" ht="25.5" x14ac:dyDescent="0.2">
      <c r="A810" s="1" t="s">
        <v>133</v>
      </c>
      <c r="B810" s="2" t="s">
        <v>38</v>
      </c>
      <c r="C810" s="2" t="s">
        <v>134</v>
      </c>
      <c r="D810" s="2" t="s">
        <v>85</v>
      </c>
      <c r="E810" s="2">
        <v>2020</v>
      </c>
      <c r="F810" s="2" t="s">
        <v>256</v>
      </c>
      <c r="G810" s="2" t="s">
        <v>1667</v>
      </c>
      <c r="H810" s="2" t="s">
        <v>1669</v>
      </c>
      <c r="I810" s="1" t="s">
        <v>14</v>
      </c>
      <c r="J810" s="1" t="s">
        <v>912</v>
      </c>
      <c r="L810" s="34">
        <v>0.13700000000000001</v>
      </c>
      <c r="M810" s="3"/>
      <c r="N810" s="35"/>
      <c r="O810" s="35"/>
      <c r="P810" s="35"/>
      <c r="Q810" s="35"/>
      <c r="R810" s="39">
        <v>55.01</v>
      </c>
      <c r="S810" s="14"/>
      <c r="T810" s="35"/>
      <c r="U810" s="3"/>
    </row>
    <row r="811" spans="1:22" ht="25.5" x14ac:dyDescent="0.2">
      <c r="A811" s="1" t="s">
        <v>133</v>
      </c>
      <c r="B811" s="2" t="s">
        <v>38</v>
      </c>
      <c r="C811" s="2" t="s">
        <v>134</v>
      </c>
      <c r="D811" s="2" t="s">
        <v>85</v>
      </c>
      <c r="E811" s="2">
        <v>2020</v>
      </c>
      <c r="F811" s="2" t="s">
        <v>276</v>
      </c>
      <c r="G811" s="2" t="s">
        <v>1667</v>
      </c>
      <c r="H811" s="2" t="s">
        <v>1669</v>
      </c>
      <c r="I811" s="1" t="s">
        <v>14</v>
      </c>
      <c r="J811" s="1" t="s">
        <v>1019</v>
      </c>
      <c r="L811" s="34">
        <v>0.13700000000000001</v>
      </c>
      <c r="M811" s="3"/>
      <c r="N811" s="35"/>
      <c r="O811" s="35"/>
      <c r="P811" s="35"/>
      <c r="Q811" s="35"/>
      <c r="R811" s="39">
        <v>49.38</v>
      </c>
      <c r="S811" s="14"/>
      <c r="T811" s="35"/>
      <c r="U811" s="3"/>
    </row>
    <row r="812" spans="1:22" ht="25.5" x14ac:dyDescent="0.2">
      <c r="A812" s="1" t="s">
        <v>133</v>
      </c>
      <c r="B812" s="2" t="s">
        <v>38</v>
      </c>
      <c r="C812" s="2" t="s">
        <v>134</v>
      </c>
      <c r="D812" s="2" t="s">
        <v>85</v>
      </c>
      <c r="E812" s="2">
        <v>2020</v>
      </c>
      <c r="F812" s="2" t="s">
        <v>291</v>
      </c>
      <c r="G812" s="2" t="s">
        <v>1667</v>
      </c>
      <c r="H812" s="2" t="s">
        <v>1669</v>
      </c>
      <c r="I812" s="1" t="s">
        <v>14</v>
      </c>
      <c r="J812" s="1" t="s">
        <v>1150</v>
      </c>
      <c r="L812" s="34">
        <v>0.15</v>
      </c>
      <c r="M812" s="2"/>
      <c r="N812" s="35"/>
      <c r="O812" s="35"/>
      <c r="P812" s="35"/>
      <c r="Q812" s="35"/>
      <c r="R812" s="39">
        <v>24.1</v>
      </c>
      <c r="S812" s="14"/>
      <c r="T812" s="35"/>
      <c r="U812" s="3"/>
    </row>
    <row r="813" spans="1:22" ht="25.5" x14ac:dyDescent="0.2">
      <c r="A813" s="1" t="s">
        <v>133</v>
      </c>
      <c r="B813" s="2" t="s">
        <v>38</v>
      </c>
      <c r="C813" s="2" t="s">
        <v>134</v>
      </c>
      <c r="D813" s="2" t="s">
        <v>85</v>
      </c>
      <c r="E813" s="2">
        <v>2020</v>
      </c>
      <c r="F813" s="2" t="s">
        <v>311</v>
      </c>
      <c r="G813" s="2" t="s">
        <v>1667</v>
      </c>
      <c r="H813" s="2" t="s">
        <v>1669</v>
      </c>
      <c r="I813" s="1" t="s">
        <v>14</v>
      </c>
      <c r="J813" s="1" t="s">
        <v>1306</v>
      </c>
      <c r="L813" s="34">
        <v>0.155</v>
      </c>
      <c r="M813" s="3"/>
      <c r="N813" s="35"/>
      <c r="O813" s="35"/>
      <c r="P813" s="35"/>
      <c r="Q813" s="35"/>
      <c r="R813" s="39">
        <v>33.53</v>
      </c>
      <c r="S813" s="14"/>
      <c r="T813" s="35"/>
      <c r="U813" s="3"/>
    </row>
    <row r="814" spans="1:22" ht="25.5" x14ac:dyDescent="0.2">
      <c r="A814" s="1" t="s">
        <v>133</v>
      </c>
      <c r="B814" s="2" t="s">
        <v>38</v>
      </c>
      <c r="C814" s="2" t="s">
        <v>134</v>
      </c>
      <c r="D814" s="2" t="s">
        <v>85</v>
      </c>
      <c r="E814" s="2">
        <v>2020</v>
      </c>
      <c r="F814" s="2" t="s">
        <v>337</v>
      </c>
      <c r="G814" s="2" t="s">
        <v>1667</v>
      </c>
      <c r="H814" s="2" t="s">
        <v>1669</v>
      </c>
      <c r="I814" s="1" t="s">
        <v>14</v>
      </c>
      <c r="J814" s="1" t="s">
        <v>1401</v>
      </c>
      <c r="L814" s="34">
        <v>0.13100000000000001</v>
      </c>
      <c r="M814" s="3"/>
      <c r="N814" s="35"/>
      <c r="O814" s="35"/>
      <c r="P814" s="35"/>
      <c r="Q814" s="35"/>
      <c r="R814" s="39">
        <v>43.62</v>
      </c>
      <c r="S814" s="14"/>
      <c r="T814" s="35"/>
      <c r="U814" s="3"/>
    </row>
    <row r="815" spans="1:22" ht="25.5" x14ac:dyDescent="0.2">
      <c r="A815" s="1" t="s">
        <v>133</v>
      </c>
      <c r="B815" s="2" t="s">
        <v>38</v>
      </c>
      <c r="C815" s="2" t="s">
        <v>134</v>
      </c>
      <c r="D815" s="2" t="s">
        <v>85</v>
      </c>
      <c r="E815" s="2">
        <v>2020</v>
      </c>
      <c r="F815" s="2" t="s">
        <v>364</v>
      </c>
      <c r="G815" s="2" t="s">
        <v>1667</v>
      </c>
      <c r="H815" s="2" t="s">
        <v>1669</v>
      </c>
      <c r="I815" s="1" t="s">
        <v>14</v>
      </c>
      <c r="J815" s="1" t="s">
        <v>1561</v>
      </c>
      <c r="L815" s="34">
        <v>0.13300000000000001</v>
      </c>
      <c r="M815" s="2"/>
      <c r="N815" s="35"/>
      <c r="O815" s="35"/>
      <c r="P815" s="35"/>
      <c r="Q815" s="35"/>
      <c r="R815" s="39">
        <v>27.09</v>
      </c>
      <c r="S815" s="14"/>
      <c r="T815" s="35"/>
      <c r="U815" s="3"/>
    </row>
    <row r="816" spans="1:22" ht="25.5" x14ac:dyDescent="0.2">
      <c r="A816" s="1" t="s">
        <v>133</v>
      </c>
      <c r="B816" s="2" t="s">
        <v>38</v>
      </c>
      <c r="C816" s="2" t="s">
        <v>134</v>
      </c>
      <c r="D816" s="2" t="s">
        <v>85</v>
      </c>
      <c r="E816" s="2">
        <v>2020</v>
      </c>
      <c r="F816" s="2" t="s">
        <v>388</v>
      </c>
      <c r="G816" s="2" t="s">
        <v>1667</v>
      </c>
      <c r="H816" s="2" t="s">
        <v>1669</v>
      </c>
      <c r="I816" s="1" t="s">
        <v>14</v>
      </c>
      <c r="J816" s="1" t="s">
        <v>1621</v>
      </c>
      <c r="L816" s="34">
        <v>0.15340000000000001</v>
      </c>
      <c r="M816" s="3"/>
      <c r="N816" s="35"/>
      <c r="O816" s="35"/>
      <c r="P816" s="35"/>
      <c r="Q816" s="35"/>
      <c r="R816" s="35">
        <v>26.42</v>
      </c>
      <c r="S816" s="35"/>
      <c r="T816" s="35"/>
      <c r="U816" s="3"/>
    </row>
    <row r="817" spans="1:21" ht="25.5" x14ac:dyDescent="0.2">
      <c r="A817" s="1" t="s">
        <v>180</v>
      </c>
      <c r="B817" s="2" t="s">
        <v>48</v>
      </c>
      <c r="C817" s="2" t="s">
        <v>181</v>
      </c>
      <c r="D817" s="2" t="s">
        <v>46</v>
      </c>
      <c r="E817" s="2">
        <v>2020</v>
      </c>
      <c r="F817" s="2" t="s">
        <v>13</v>
      </c>
      <c r="G817" s="2" t="s">
        <v>1667</v>
      </c>
      <c r="H817" s="2" t="s">
        <v>1669</v>
      </c>
      <c r="I817" s="1" t="s">
        <v>14</v>
      </c>
      <c r="J817" s="1" t="s">
        <v>542</v>
      </c>
      <c r="L817" s="5">
        <v>0.151</v>
      </c>
      <c r="M817" s="35"/>
      <c r="N817" s="35">
        <v>67.95</v>
      </c>
      <c r="O817" s="35"/>
      <c r="P817" s="35"/>
      <c r="Q817" s="35"/>
      <c r="R817" s="35"/>
      <c r="S817" s="35"/>
      <c r="T817" s="35"/>
      <c r="U817" s="35"/>
    </row>
    <row r="818" spans="1:21" ht="25.5" x14ac:dyDescent="0.2">
      <c r="A818" s="1" t="s">
        <v>180</v>
      </c>
      <c r="B818" s="2" t="s">
        <v>48</v>
      </c>
      <c r="C818" s="2" t="s">
        <v>181</v>
      </c>
      <c r="D818" s="2" t="s">
        <v>46</v>
      </c>
      <c r="E818" s="2">
        <v>2020</v>
      </c>
      <c r="F818" s="2" t="s">
        <v>188</v>
      </c>
      <c r="G818" s="2" t="s">
        <v>1667</v>
      </c>
      <c r="H818" s="2" t="s">
        <v>1669</v>
      </c>
      <c r="I818" s="1" t="s">
        <v>14</v>
      </c>
      <c r="J818" s="1" t="s">
        <v>604</v>
      </c>
      <c r="L818" s="34">
        <v>0.15</v>
      </c>
      <c r="M818" s="35"/>
      <c r="N818" s="35">
        <v>49.15</v>
      </c>
      <c r="O818" s="35"/>
      <c r="P818" s="35"/>
      <c r="Q818" s="35"/>
      <c r="R818" s="14"/>
      <c r="S818" s="35"/>
      <c r="T818" s="35"/>
      <c r="U818" s="35"/>
    </row>
    <row r="819" spans="1:21" ht="25.5" x14ac:dyDescent="0.2">
      <c r="A819" s="1" t="s">
        <v>180</v>
      </c>
      <c r="B819" s="2" t="s">
        <v>48</v>
      </c>
      <c r="C819" s="2" t="s">
        <v>181</v>
      </c>
      <c r="D819" s="2" t="s">
        <v>46</v>
      </c>
      <c r="E819" s="2">
        <v>2020</v>
      </c>
      <c r="F819" s="2" t="s">
        <v>203</v>
      </c>
      <c r="G819" s="2" t="s">
        <v>1667</v>
      </c>
      <c r="H819" s="2" t="s">
        <v>1669</v>
      </c>
      <c r="I819" s="1" t="s">
        <v>14</v>
      </c>
      <c r="J819" s="1" t="s">
        <v>636</v>
      </c>
      <c r="L819" s="34">
        <v>0.153</v>
      </c>
      <c r="M819" s="35"/>
      <c r="N819" s="35">
        <v>51.25</v>
      </c>
      <c r="O819" s="35"/>
      <c r="P819" s="35"/>
      <c r="Q819" s="35"/>
      <c r="R819" s="14"/>
      <c r="S819" s="35"/>
      <c r="T819" s="35"/>
      <c r="U819" s="35"/>
    </row>
    <row r="820" spans="1:21" ht="25.5" x14ac:dyDescent="0.2">
      <c r="A820" s="1" t="s">
        <v>180</v>
      </c>
      <c r="B820" s="2" t="s">
        <v>48</v>
      </c>
      <c r="C820" s="2" t="s">
        <v>181</v>
      </c>
      <c r="D820" s="2" t="s">
        <v>46</v>
      </c>
      <c r="E820" s="2">
        <v>2020</v>
      </c>
      <c r="F820" s="2" t="s">
        <v>211</v>
      </c>
      <c r="G820" s="2" t="s">
        <v>1667</v>
      </c>
      <c r="H820" s="2" t="s">
        <v>1669</v>
      </c>
      <c r="I820" s="1" t="s">
        <v>14</v>
      </c>
      <c r="J820" s="1" t="s">
        <v>731</v>
      </c>
      <c r="L820" s="34">
        <v>0.15</v>
      </c>
      <c r="M820" s="35"/>
      <c r="N820" s="35">
        <v>71.89</v>
      </c>
      <c r="O820" s="35"/>
      <c r="P820" s="35"/>
      <c r="Q820" s="35"/>
      <c r="R820" s="14"/>
      <c r="S820" s="35"/>
      <c r="T820" s="35"/>
      <c r="U820" s="35"/>
    </row>
    <row r="821" spans="1:21" ht="25.5" x14ac:dyDescent="0.2">
      <c r="A821" s="1" t="s">
        <v>180</v>
      </c>
      <c r="B821" s="2" t="s">
        <v>48</v>
      </c>
      <c r="C821" s="2" t="s">
        <v>181</v>
      </c>
      <c r="D821" s="2" t="s">
        <v>46</v>
      </c>
      <c r="E821" s="2">
        <v>2020</v>
      </c>
      <c r="F821" s="2" t="s">
        <v>221</v>
      </c>
      <c r="G821" s="2" t="s">
        <v>1667</v>
      </c>
      <c r="H821" s="2" t="s">
        <v>1669</v>
      </c>
      <c r="I821" s="1" t="s">
        <v>14</v>
      </c>
      <c r="J821" s="1" t="s">
        <v>853</v>
      </c>
      <c r="L821" s="34">
        <v>0.15</v>
      </c>
      <c r="M821" s="35"/>
      <c r="N821" s="35">
        <v>71.08</v>
      </c>
      <c r="O821" s="35"/>
      <c r="P821" s="35"/>
      <c r="Q821" s="35"/>
      <c r="R821" s="14"/>
      <c r="S821" s="14"/>
      <c r="T821" s="35"/>
      <c r="U821" s="35"/>
    </row>
    <row r="822" spans="1:21" ht="25.5" x14ac:dyDescent="0.2">
      <c r="A822" s="1" t="s">
        <v>180</v>
      </c>
      <c r="B822" s="2" t="s">
        <v>48</v>
      </c>
      <c r="C822" s="2" t="s">
        <v>181</v>
      </c>
      <c r="D822" s="2" t="s">
        <v>46</v>
      </c>
      <c r="E822" s="2">
        <v>2020</v>
      </c>
      <c r="F822" s="2" t="s">
        <v>256</v>
      </c>
      <c r="G822" s="2" t="s">
        <v>1667</v>
      </c>
      <c r="H822" s="2" t="s">
        <v>1669</v>
      </c>
      <c r="I822" s="1" t="s">
        <v>14</v>
      </c>
      <c r="J822" s="1" t="s">
        <v>885</v>
      </c>
      <c r="L822" s="34">
        <v>0.158</v>
      </c>
      <c r="M822" s="35"/>
      <c r="N822" s="35">
        <v>35.590000000000003</v>
      </c>
      <c r="O822" s="35"/>
      <c r="P822" s="35"/>
      <c r="Q822" s="35"/>
      <c r="R822" s="14"/>
      <c r="S822" s="14"/>
      <c r="T822" s="35"/>
      <c r="U822" s="35"/>
    </row>
    <row r="823" spans="1:21" ht="25.5" x14ac:dyDescent="0.2">
      <c r="A823" s="1" t="s">
        <v>180</v>
      </c>
      <c r="B823" s="2" t="s">
        <v>48</v>
      </c>
      <c r="C823" s="2" t="s">
        <v>181</v>
      </c>
      <c r="D823" s="2" t="s">
        <v>46</v>
      </c>
      <c r="E823" s="2">
        <v>2020</v>
      </c>
      <c r="F823" s="2" t="s">
        <v>276</v>
      </c>
      <c r="G823" s="2" t="s">
        <v>1667</v>
      </c>
      <c r="H823" s="2" t="s">
        <v>1669</v>
      </c>
      <c r="I823" s="1" t="s">
        <v>14</v>
      </c>
      <c r="J823" s="1" t="s">
        <v>1058</v>
      </c>
      <c r="L823" s="34">
        <v>0.155</v>
      </c>
      <c r="M823" s="35"/>
      <c r="N823" s="35">
        <v>51.73</v>
      </c>
      <c r="O823" s="35"/>
      <c r="P823" s="35"/>
      <c r="Q823" s="35"/>
      <c r="R823" s="14"/>
      <c r="S823" s="14"/>
      <c r="T823" s="35"/>
      <c r="U823" s="35"/>
    </row>
    <row r="824" spans="1:21" ht="25.5" x14ac:dyDescent="0.2">
      <c r="A824" s="1" t="s">
        <v>180</v>
      </c>
      <c r="B824" s="2" t="s">
        <v>48</v>
      </c>
      <c r="C824" s="2" t="s">
        <v>181</v>
      </c>
      <c r="D824" s="2" t="s">
        <v>46</v>
      </c>
      <c r="E824" s="2">
        <v>2020</v>
      </c>
      <c r="F824" s="2" t="s">
        <v>291</v>
      </c>
      <c r="G824" s="2" t="s">
        <v>1667</v>
      </c>
      <c r="H824" s="2" t="s">
        <v>1669</v>
      </c>
      <c r="I824" s="1" t="s">
        <v>14</v>
      </c>
      <c r="J824" s="1" t="s">
        <v>1147</v>
      </c>
      <c r="L824" s="34">
        <v>0.159</v>
      </c>
      <c r="M824" s="35"/>
      <c r="N824" s="35">
        <v>34.69</v>
      </c>
      <c r="O824" s="35"/>
      <c r="P824" s="35"/>
      <c r="Q824" s="35"/>
      <c r="R824" s="14"/>
      <c r="S824" s="14"/>
      <c r="T824" s="35"/>
      <c r="U824" s="35"/>
    </row>
    <row r="825" spans="1:21" ht="25.5" x14ac:dyDescent="0.2">
      <c r="A825" s="1" t="s">
        <v>180</v>
      </c>
      <c r="B825" s="2" t="s">
        <v>48</v>
      </c>
      <c r="C825" s="2" t="s">
        <v>181</v>
      </c>
      <c r="D825" s="2" t="s">
        <v>46</v>
      </c>
      <c r="E825" s="2">
        <v>2020</v>
      </c>
      <c r="F825" s="2" t="s">
        <v>311</v>
      </c>
      <c r="G825" s="2" t="s">
        <v>1667</v>
      </c>
      <c r="H825" s="2" t="s">
        <v>1669</v>
      </c>
      <c r="I825" s="1" t="s">
        <v>14</v>
      </c>
      <c r="J825" s="1" t="s">
        <v>1220</v>
      </c>
      <c r="L825" s="34">
        <v>0.161</v>
      </c>
      <c r="M825" s="35"/>
      <c r="N825" s="35">
        <v>49.94</v>
      </c>
      <c r="O825" s="35"/>
      <c r="P825" s="35"/>
      <c r="Q825" s="35"/>
      <c r="R825" s="14"/>
      <c r="S825" s="14"/>
      <c r="T825" s="35"/>
      <c r="U825" s="35"/>
    </row>
    <row r="826" spans="1:21" ht="25.5" x14ac:dyDescent="0.2">
      <c r="A826" s="1" t="s">
        <v>180</v>
      </c>
      <c r="B826" s="2" t="s">
        <v>48</v>
      </c>
      <c r="C826" s="2" t="s">
        <v>181</v>
      </c>
      <c r="D826" s="2" t="s">
        <v>46</v>
      </c>
      <c r="E826" s="2">
        <v>2020</v>
      </c>
      <c r="F826" s="2" t="s">
        <v>337</v>
      </c>
      <c r="G826" s="2" t="s">
        <v>1667</v>
      </c>
      <c r="H826" s="2" t="s">
        <v>1669</v>
      </c>
      <c r="I826" s="1" t="s">
        <v>14</v>
      </c>
      <c r="J826" s="1" t="s">
        <v>1446</v>
      </c>
      <c r="L826" s="34">
        <v>0.17699999999999999</v>
      </c>
      <c r="M826" s="35"/>
      <c r="N826" s="35">
        <v>36.33</v>
      </c>
      <c r="O826" s="35"/>
      <c r="P826" s="35"/>
      <c r="Q826" s="35"/>
      <c r="R826" s="14"/>
      <c r="S826" s="14"/>
      <c r="T826" s="35"/>
      <c r="U826" s="35"/>
    </row>
    <row r="827" spans="1:21" ht="25.5" x14ac:dyDescent="0.2">
      <c r="A827" s="1" t="s">
        <v>180</v>
      </c>
      <c r="B827" s="2" t="s">
        <v>48</v>
      </c>
      <c r="C827" s="2" t="s">
        <v>181</v>
      </c>
      <c r="D827" s="2" t="s">
        <v>46</v>
      </c>
      <c r="E827" s="2">
        <v>2020</v>
      </c>
      <c r="F827" s="2" t="s">
        <v>364</v>
      </c>
      <c r="G827" s="2" t="s">
        <v>1667</v>
      </c>
      <c r="H827" s="2" t="s">
        <v>1669</v>
      </c>
      <c r="I827" s="1" t="s">
        <v>14</v>
      </c>
      <c r="J827" s="1" t="s">
        <v>1505</v>
      </c>
      <c r="L827" s="34">
        <v>0.16700000000000001</v>
      </c>
      <c r="M827" s="35"/>
      <c r="N827" s="35">
        <v>56.11</v>
      </c>
      <c r="O827" s="35"/>
      <c r="P827" s="35"/>
      <c r="Q827" s="35"/>
      <c r="R827" s="14"/>
      <c r="S827" s="14"/>
      <c r="T827" s="35"/>
      <c r="U827" s="35"/>
    </row>
    <row r="828" spans="1:21" ht="25.5" x14ac:dyDescent="0.2">
      <c r="A828" s="1" t="s">
        <v>180</v>
      </c>
      <c r="B828" s="2" t="s">
        <v>48</v>
      </c>
      <c r="C828" s="2" t="s">
        <v>181</v>
      </c>
      <c r="D828" s="2" t="s">
        <v>46</v>
      </c>
      <c r="E828" s="2">
        <v>2020</v>
      </c>
      <c r="F828" s="2" t="s">
        <v>388</v>
      </c>
      <c r="G828" s="2" t="s">
        <v>1667</v>
      </c>
      <c r="H828" s="2" t="s">
        <v>1669</v>
      </c>
      <c r="I828" s="1" t="s">
        <v>14</v>
      </c>
      <c r="J828" s="1" t="s">
        <v>1641</v>
      </c>
      <c r="L828" s="34">
        <v>0.16500000000000001</v>
      </c>
      <c r="M828" s="35"/>
      <c r="N828" s="35">
        <v>35.299999999999997</v>
      </c>
      <c r="O828" s="35"/>
      <c r="P828" s="35"/>
      <c r="Q828" s="35"/>
      <c r="R828" s="35"/>
      <c r="S828" s="35"/>
      <c r="T828" s="35"/>
      <c r="U828" s="35"/>
    </row>
    <row r="829" spans="1:21" ht="25.5" x14ac:dyDescent="0.2">
      <c r="A829" s="1" t="s">
        <v>75</v>
      </c>
      <c r="B829" s="2" t="s">
        <v>16</v>
      </c>
      <c r="C829" s="2" t="s">
        <v>76</v>
      </c>
      <c r="D829" s="2" t="s">
        <v>77</v>
      </c>
      <c r="E829" s="2">
        <v>2020</v>
      </c>
      <c r="F829" s="2" t="s">
        <v>13</v>
      </c>
      <c r="G829" s="2" t="s">
        <v>1667</v>
      </c>
      <c r="H829" s="2" t="s">
        <v>1669</v>
      </c>
      <c r="I829" s="1" t="s">
        <v>14</v>
      </c>
      <c r="J829" s="1" t="s">
        <v>501</v>
      </c>
      <c r="L829" s="34" t="s">
        <v>1670</v>
      </c>
      <c r="M829" s="35"/>
      <c r="N829" s="35">
        <v>666.25</v>
      </c>
      <c r="O829" s="35"/>
      <c r="P829" s="35"/>
      <c r="Q829" s="35"/>
      <c r="R829" s="35"/>
      <c r="S829" s="35"/>
      <c r="T829" s="35"/>
      <c r="U829" s="35"/>
    </row>
    <row r="830" spans="1:21" ht="51" x14ac:dyDescent="0.2">
      <c r="A830" s="1" t="s">
        <v>75</v>
      </c>
      <c r="B830" s="2" t="s">
        <v>16</v>
      </c>
      <c r="C830" s="2" t="s">
        <v>76</v>
      </c>
      <c r="D830" s="2" t="s">
        <v>77</v>
      </c>
      <c r="E830" s="2">
        <v>2020</v>
      </c>
      <c r="F830" s="2" t="s">
        <v>188</v>
      </c>
      <c r="G830" s="2" t="s">
        <v>1667</v>
      </c>
      <c r="H830" s="2" t="s">
        <v>1669</v>
      </c>
      <c r="I830" s="1" t="s">
        <v>14</v>
      </c>
      <c r="J830" s="1" t="s">
        <v>603</v>
      </c>
      <c r="L830" s="34" t="s">
        <v>1670</v>
      </c>
      <c r="M830" s="35"/>
      <c r="N830" s="35">
        <v>897.06</v>
      </c>
      <c r="O830" s="35"/>
      <c r="P830" s="35"/>
      <c r="Q830" s="35"/>
      <c r="R830" s="14"/>
      <c r="S830" s="35"/>
      <c r="T830" s="35"/>
      <c r="U830" s="35"/>
    </row>
    <row r="831" spans="1:21" ht="51" x14ac:dyDescent="0.2">
      <c r="A831" s="1" t="s">
        <v>75</v>
      </c>
      <c r="B831" s="2" t="s">
        <v>16</v>
      </c>
      <c r="C831" s="2" t="s">
        <v>76</v>
      </c>
      <c r="D831" s="2" t="s">
        <v>77</v>
      </c>
      <c r="E831" s="2">
        <v>2020</v>
      </c>
      <c r="F831" s="2" t="s">
        <v>203</v>
      </c>
      <c r="G831" s="2" t="s">
        <v>1667</v>
      </c>
      <c r="H831" s="2" t="s">
        <v>1669</v>
      </c>
      <c r="I831" s="1" t="s">
        <v>14</v>
      </c>
      <c r="J831" s="1" t="s">
        <v>648</v>
      </c>
      <c r="L831" s="34" t="s">
        <v>1670</v>
      </c>
      <c r="M831" s="35"/>
      <c r="N831" s="35">
        <v>849.6</v>
      </c>
      <c r="O831" s="35"/>
      <c r="P831" s="35"/>
      <c r="Q831" s="35"/>
      <c r="R831" s="14"/>
      <c r="S831" s="35"/>
      <c r="T831" s="35"/>
      <c r="U831" s="35"/>
    </row>
    <row r="832" spans="1:21" ht="51" x14ac:dyDescent="0.2">
      <c r="A832" s="1" t="s">
        <v>75</v>
      </c>
      <c r="B832" s="2" t="s">
        <v>16</v>
      </c>
      <c r="C832" s="2" t="s">
        <v>76</v>
      </c>
      <c r="D832" s="2" t="s">
        <v>77</v>
      </c>
      <c r="E832" s="2">
        <v>2020</v>
      </c>
      <c r="F832" s="2" t="s">
        <v>211</v>
      </c>
      <c r="G832" s="2" t="s">
        <v>1667</v>
      </c>
      <c r="H832" s="2" t="s">
        <v>1669</v>
      </c>
      <c r="I832" s="1" t="s">
        <v>14</v>
      </c>
      <c r="J832" s="1" t="s">
        <v>683</v>
      </c>
      <c r="L832" s="34" t="s">
        <v>1670</v>
      </c>
      <c r="M832" s="35"/>
      <c r="N832" s="35">
        <v>862.75</v>
      </c>
      <c r="O832" s="35"/>
      <c r="P832" s="35"/>
      <c r="Q832" s="35"/>
      <c r="R832" s="14"/>
      <c r="S832" s="35"/>
      <c r="T832" s="35"/>
      <c r="U832" s="35"/>
    </row>
    <row r="833" spans="1:22" ht="25.5" x14ac:dyDescent="0.2">
      <c r="A833" s="1" t="s">
        <v>75</v>
      </c>
      <c r="B833" s="2" t="s">
        <v>16</v>
      </c>
      <c r="C833" s="2" t="s">
        <v>76</v>
      </c>
      <c r="D833" s="2" t="s">
        <v>77</v>
      </c>
      <c r="E833" s="2">
        <v>2020</v>
      </c>
      <c r="F833" s="2" t="s">
        <v>221</v>
      </c>
      <c r="G833" s="2" t="s">
        <v>1667</v>
      </c>
      <c r="H833" s="2" t="s">
        <v>1669</v>
      </c>
      <c r="I833" s="1" t="s">
        <v>14</v>
      </c>
      <c r="J833" s="1" t="s">
        <v>818</v>
      </c>
      <c r="L833" s="34" t="s">
        <v>1670</v>
      </c>
      <c r="M833" s="35"/>
      <c r="N833" s="35">
        <v>983.9</v>
      </c>
      <c r="O833" s="35"/>
      <c r="P833" s="35"/>
      <c r="Q833" s="35"/>
      <c r="R833" s="14"/>
      <c r="S833" s="14"/>
      <c r="T833" s="35"/>
      <c r="U833" s="35"/>
    </row>
    <row r="834" spans="1:22" ht="25.5" x14ac:dyDescent="0.2">
      <c r="A834" s="1" t="s">
        <v>75</v>
      </c>
      <c r="B834" s="2" t="s">
        <v>16</v>
      </c>
      <c r="C834" s="2" t="s">
        <v>76</v>
      </c>
      <c r="D834" s="2" t="s">
        <v>77</v>
      </c>
      <c r="E834" s="2">
        <v>2020</v>
      </c>
      <c r="F834" s="2" t="s">
        <v>256</v>
      </c>
      <c r="G834" s="2" t="s">
        <v>1667</v>
      </c>
      <c r="H834" s="2" t="s">
        <v>1669</v>
      </c>
      <c r="I834" s="1" t="s">
        <v>14</v>
      </c>
      <c r="J834" s="1" t="s">
        <v>936</v>
      </c>
      <c r="L834" s="34" t="s">
        <v>1670</v>
      </c>
      <c r="M834" s="35"/>
      <c r="N834" s="35">
        <v>983.9</v>
      </c>
      <c r="O834" s="35"/>
      <c r="P834" s="35"/>
      <c r="Q834" s="35"/>
      <c r="R834" s="14"/>
      <c r="S834" s="14"/>
      <c r="T834" s="35"/>
      <c r="U834" s="35"/>
    </row>
    <row r="835" spans="1:22" ht="25.5" x14ac:dyDescent="0.2">
      <c r="A835" s="1" t="s">
        <v>75</v>
      </c>
      <c r="B835" s="2" t="s">
        <v>16</v>
      </c>
      <c r="C835" s="2" t="s">
        <v>76</v>
      </c>
      <c r="D835" s="2" t="s">
        <v>77</v>
      </c>
      <c r="E835" s="2">
        <v>2020</v>
      </c>
      <c r="F835" s="2" t="s">
        <v>276</v>
      </c>
      <c r="G835" s="2" t="s">
        <v>1667</v>
      </c>
      <c r="H835" s="2" t="s">
        <v>1669</v>
      </c>
      <c r="I835" s="1" t="s">
        <v>14</v>
      </c>
      <c r="J835" s="1" t="s">
        <v>967</v>
      </c>
      <c r="L835" s="34" t="s">
        <v>1670</v>
      </c>
      <c r="M835" s="35"/>
      <c r="N835" s="35">
        <v>893.47</v>
      </c>
      <c r="O835" s="35"/>
      <c r="P835" s="35"/>
      <c r="Q835" s="35"/>
      <c r="R835" s="14"/>
      <c r="S835" s="14"/>
      <c r="T835" s="35"/>
      <c r="U835" s="35"/>
    </row>
    <row r="836" spans="1:22" ht="25.5" x14ac:dyDescent="0.2">
      <c r="A836" s="1" t="s">
        <v>75</v>
      </c>
      <c r="B836" s="2" t="s">
        <v>16</v>
      </c>
      <c r="C836" s="2" t="s">
        <v>76</v>
      </c>
      <c r="D836" s="2" t="s">
        <v>77</v>
      </c>
      <c r="E836" s="2">
        <v>2020</v>
      </c>
      <c r="F836" s="2" t="s">
        <v>291</v>
      </c>
      <c r="G836" s="2" t="s">
        <v>1667</v>
      </c>
      <c r="H836" s="2" t="s">
        <v>1669</v>
      </c>
      <c r="I836" s="1" t="s">
        <v>14</v>
      </c>
      <c r="J836" s="1" t="s">
        <v>1143</v>
      </c>
      <c r="L836" s="34" t="s">
        <v>1670</v>
      </c>
      <c r="M836" s="35"/>
      <c r="N836" s="35">
        <v>897.88</v>
      </c>
      <c r="O836" s="35"/>
      <c r="P836" s="35"/>
      <c r="Q836" s="35"/>
      <c r="R836" s="14"/>
      <c r="S836" s="14"/>
      <c r="T836" s="35"/>
      <c r="U836" s="35"/>
    </row>
    <row r="837" spans="1:22" ht="25.5" x14ac:dyDescent="0.2">
      <c r="A837" s="1" t="s">
        <v>75</v>
      </c>
      <c r="B837" s="2" t="s">
        <v>16</v>
      </c>
      <c r="C837" s="2" t="s">
        <v>76</v>
      </c>
      <c r="D837" s="2" t="s">
        <v>77</v>
      </c>
      <c r="E837" s="2">
        <v>2020</v>
      </c>
      <c r="F837" s="2" t="s">
        <v>311</v>
      </c>
      <c r="G837" s="2" t="s">
        <v>1667</v>
      </c>
      <c r="H837" s="2" t="s">
        <v>1669</v>
      </c>
      <c r="I837" s="1" t="s">
        <v>14</v>
      </c>
      <c r="J837" s="1" t="s">
        <v>1248</v>
      </c>
      <c r="L837" s="34" t="s">
        <v>1670</v>
      </c>
      <c r="M837" s="35"/>
      <c r="N837" s="35">
        <v>900.35</v>
      </c>
      <c r="O837" s="35"/>
      <c r="P837" s="35"/>
      <c r="Q837" s="35"/>
      <c r="R837" s="14"/>
      <c r="S837" s="14"/>
      <c r="T837" s="35"/>
      <c r="U837" s="35"/>
    </row>
    <row r="838" spans="1:22" ht="25.5" x14ac:dyDescent="0.2">
      <c r="A838" s="1" t="s">
        <v>75</v>
      </c>
      <c r="B838" s="2" t="s">
        <v>16</v>
      </c>
      <c r="C838" s="2" t="s">
        <v>76</v>
      </c>
      <c r="D838" s="2" t="s">
        <v>77</v>
      </c>
      <c r="E838" s="2">
        <v>2020</v>
      </c>
      <c r="F838" s="2" t="s">
        <v>337</v>
      </c>
      <c r="G838" s="2" t="s">
        <v>1667</v>
      </c>
      <c r="H838" s="2" t="s">
        <v>1669</v>
      </c>
      <c r="I838" s="1" t="s">
        <v>14</v>
      </c>
      <c r="J838" s="1" t="s">
        <v>1420</v>
      </c>
      <c r="L838" s="34" t="s">
        <v>1670</v>
      </c>
      <c r="M838" s="35"/>
      <c r="N838" s="35">
        <v>937.95</v>
      </c>
      <c r="O838" s="35"/>
      <c r="P838" s="35"/>
      <c r="Q838" s="35"/>
      <c r="R838" s="14"/>
      <c r="S838" s="14"/>
      <c r="T838" s="35"/>
      <c r="U838" s="35"/>
    </row>
    <row r="839" spans="1:22" ht="25.5" x14ac:dyDescent="0.2">
      <c r="A839" s="1" t="s">
        <v>75</v>
      </c>
      <c r="B839" s="2" t="s">
        <v>16</v>
      </c>
      <c r="C839" s="2" t="s">
        <v>76</v>
      </c>
      <c r="D839" s="2" t="s">
        <v>77</v>
      </c>
      <c r="E839" s="2">
        <v>2020</v>
      </c>
      <c r="F839" s="2" t="s">
        <v>364</v>
      </c>
      <c r="G839" s="2" t="s">
        <v>1667</v>
      </c>
      <c r="H839" s="2" t="s">
        <v>1669</v>
      </c>
      <c r="I839" s="1" t="s">
        <v>14</v>
      </c>
      <c r="J839" s="1" t="s">
        <v>1500</v>
      </c>
      <c r="L839" s="34" t="s">
        <v>1670</v>
      </c>
      <c r="M839" s="35"/>
      <c r="N839" s="35">
        <v>948.04</v>
      </c>
      <c r="O839" s="35"/>
      <c r="P839" s="35"/>
      <c r="Q839" s="35"/>
      <c r="R839" s="14"/>
      <c r="S839" s="14"/>
      <c r="T839" s="35"/>
      <c r="U839" s="35"/>
    </row>
    <row r="840" spans="1:22" ht="38.25" x14ac:dyDescent="0.2">
      <c r="A840" s="1" t="s">
        <v>75</v>
      </c>
      <c r="B840" s="2" t="s">
        <v>16</v>
      </c>
      <c r="C840" s="2" t="s">
        <v>76</v>
      </c>
      <c r="D840" s="2" t="s">
        <v>77</v>
      </c>
      <c r="E840" s="2">
        <v>2020</v>
      </c>
      <c r="F840" s="2" t="s">
        <v>388</v>
      </c>
      <c r="G840" s="2" t="s">
        <v>1667</v>
      </c>
      <c r="H840" s="2" t="s">
        <v>1669</v>
      </c>
      <c r="I840" s="1" t="s">
        <v>14</v>
      </c>
      <c r="J840" s="1" t="s">
        <v>1632</v>
      </c>
      <c r="L840" s="34" t="s">
        <v>1670</v>
      </c>
      <c r="M840" s="35"/>
      <c r="N840" s="35">
        <v>938.8</v>
      </c>
      <c r="O840" s="35"/>
      <c r="P840" s="35"/>
      <c r="Q840" s="35"/>
      <c r="R840" s="35"/>
      <c r="S840" s="35"/>
      <c r="T840" s="35"/>
      <c r="U840" s="35"/>
    </row>
    <row r="841" spans="1:22" ht="153" x14ac:dyDescent="0.2">
      <c r="A841" s="1" t="s">
        <v>471</v>
      </c>
      <c r="B841" s="2" t="s">
        <v>196</v>
      </c>
      <c r="C841" s="2" t="s">
        <v>472</v>
      </c>
      <c r="D841" s="2" t="s">
        <v>473</v>
      </c>
      <c r="E841" s="2">
        <v>2020</v>
      </c>
      <c r="F841" s="2" t="s">
        <v>211</v>
      </c>
      <c r="G841" s="2" t="s">
        <v>1669</v>
      </c>
      <c r="H841" s="2" t="s">
        <v>1669</v>
      </c>
      <c r="I841" s="1" t="s">
        <v>705</v>
      </c>
      <c r="J841" s="1" t="s">
        <v>706</v>
      </c>
      <c r="L841" s="34">
        <v>0.40799999999999997</v>
      </c>
      <c r="M841" s="35"/>
      <c r="N841" s="43">
        <v>329</v>
      </c>
      <c r="O841" s="35"/>
      <c r="P841" s="35"/>
      <c r="Q841" s="35"/>
      <c r="R841" s="14"/>
      <c r="S841" s="35"/>
      <c r="T841" s="35"/>
      <c r="U841" s="35"/>
    </row>
    <row r="842" spans="1:22" ht="76.5" x14ac:dyDescent="0.2">
      <c r="A842" s="1" t="s">
        <v>471</v>
      </c>
      <c r="B842" s="2" t="s">
        <v>196</v>
      </c>
      <c r="C842" s="2" t="s">
        <v>472</v>
      </c>
      <c r="D842" s="2" t="s">
        <v>473</v>
      </c>
      <c r="E842" s="2">
        <v>2020</v>
      </c>
      <c r="F842" s="2" t="s">
        <v>221</v>
      </c>
      <c r="G842" s="2" t="s">
        <v>1669</v>
      </c>
      <c r="H842" s="2" t="s">
        <v>1669</v>
      </c>
      <c r="I842" s="1" t="s">
        <v>771</v>
      </c>
      <c r="J842" s="1" t="s">
        <v>772</v>
      </c>
      <c r="L842" s="34">
        <v>0.313</v>
      </c>
      <c r="M842" s="35"/>
      <c r="N842" s="35">
        <v>1065.45</v>
      </c>
      <c r="O842" s="35"/>
      <c r="P842" s="35"/>
      <c r="Q842" s="35"/>
      <c r="R842" s="14"/>
      <c r="S842" s="35"/>
      <c r="T842" s="35"/>
      <c r="U842" s="35"/>
    </row>
    <row r="843" spans="1:22" ht="76.5" x14ac:dyDescent="0.2">
      <c r="A843" s="1" t="s">
        <v>754</v>
      </c>
      <c r="B843" s="2" t="s">
        <v>196</v>
      </c>
      <c r="C843" s="2" t="s">
        <v>755</v>
      </c>
      <c r="D843" s="2" t="s">
        <v>167</v>
      </c>
      <c r="E843" s="2">
        <v>2020</v>
      </c>
      <c r="F843" s="2" t="s">
        <v>211</v>
      </c>
      <c r="G843" s="2" t="s">
        <v>1669</v>
      </c>
      <c r="H843" s="2" t="s">
        <v>1669</v>
      </c>
      <c r="I843" s="1" t="s">
        <v>756</v>
      </c>
      <c r="J843" s="1" t="s">
        <v>757</v>
      </c>
      <c r="L843" s="34">
        <v>0.22600000000000001</v>
      </c>
      <c r="M843" s="35"/>
      <c r="N843" s="35"/>
      <c r="O843" s="37">
        <v>2632.9</v>
      </c>
      <c r="P843" s="35"/>
      <c r="Q843" s="35"/>
      <c r="R843" s="14"/>
      <c r="S843" s="35"/>
      <c r="T843" s="35"/>
      <c r="U843" s="35"/>
    </row>
    <row r="844" spans="1:22" ht="89.25" x14ac:dyDescent="0.2">
      <c r="A844" s="1" t="s">
        <v>836</v>
      </c>
      <c r="B844" s="2" t="s">
        <v>198</v>
      </c>
      <c r="C844" s="2" t="s">
        <v>837</v>
      </c>
      <c r="D844" s="2" t="s">
        <v>92</v>
      </c>
      <c r="E844" s="2">
        <v>2020</v>
      </c>
      <c r="F844" s="2" t="s">
        <v>221</v>
      </c>
      <c r="G844" s="2" t="s">
        <v>1669</v>
      </c>
      <c r="H844" s="2" t="s">
        <v>1669</v>
      </c>
      <c r="I844" s="1" t="s">
        <v>838</v>
      </c>
      <c r="J844" s="1" t="s">
        <v>839</v>
      </c>
      <c r="L844" s="42">
        <v>2.06E-2</v>
      </c>
      <c r="M844" s="35"/>
      <c r="N844" s="35">
        <v>420</v>
      </c>
      <c r="O844" s="35"/>
      <c r="P844" s="35"/>
      <c r="Q844" s="35"/>
      <c r="R844" s="14"/>
      <c r="S844" s="14"/>
      <c r="T844" s="35"/>
      <c r="U844" s="35"/>
      <c r="V844" s="60" t="s">
        <v>1699</v>
      </c>
    </row>
    <row r="845" spans="1:22" ht="178.5" x14ac:dyDescent="0.2">
      <c r="A845" s="1" t="s">
        <v>443</v>
      </c>
      <c r="B845" s="2" t="s">
        <v>383</v>
      </c>
      <c r="C845" s="2" t="s">
        <v>444</v>
      </c>
      <c r="D845" s="2" t="s">
        <v>85</v>
      </c>
      <c r="E845" s="2">
        <v>2020</v>
      </c>
      <c r="F845" s="2" t="s">
        <v>221</v>
      </c>
      <c r="G845" s="2" t="s">
        <v>1669</v>
      </c>
      <c r="H845" s="2" t="s">
        <v>1669</v>
      </c>
      <c r="I845" s="1" t="s">
        <v>821</v>
      </c>
      <c r="J845" s="1" t="s">
        <v>822</v>
      </c>
      <c r="L845" s="34">
        <v>0.42230000000000001</v>
      </c>
      <c r="M845" s="35"/>
      <c r="N845" s="35">
        <v>68.739999999999995</v>
      </c>
      <c r="O845" s="35"/>
      <c r="P845" s="35"/>
      <c r="Q845" s="35"/>
      <c r="R845" s="14"/>
      <c r="S845" s="14"/>
      <c r="T845" s="35"/>
      <c r="U845" s="35"/>
    </row>
    <row r="846" spans="1:22" ht="76.5" x14ac:dyDescent="0.2">
      <c r="A846" s="1" t="s">
        <v>430</v>
      </c>
      <c r="B846" s="2" t="s">
        <v>431</v>
      </c>
      <c r="C846" s="2" t="s">
        <v>432</v>
      </c>
      <c r="D846" s="2" t="s">
        <v>367</v>
      </c>
      <c r="E846" s="2">
        <v>2020</v>
      </c>
      <c r="F846" s="2" t="s">
        <v>364</v>
      </c>
      <c r="G846" s="2" t="s">
        <v>1669</v>
      </c>
      <c r="H846" s="2" t="s">
        <v>1669</v>
      </c>
      <c r="I846" s="1" t="s">
        <v>1739</v>
      </c>
      <c r="J846" s="1" t="s">
        <v>1542</v>
      </c>
      <c r="L846" s="5" t="s">
        <v>1670</v>
      </c>
      <c r="M846" s="35"/>
      <c r="N846" s="35"/>
      <c r="O846" s="35"/>
      <c r="P846" s="35"/>
      <c r="Q846" s="35"/>
      <c r="R846" s="6"/>
      <c r="S846" s="6"/>
      <c r="T846" s="35"/>
      <c r="U846" s="35">
        <v>170.34</v>
      </c>
      <c r="V846" s="60" t="s">
        <v>1699</v>
      </c>
    </row>
    <row r="847" spans="1:22" ht="51" x14ac:dyDescent="0.2">
      <c r="A847" s="1" t="s">
        <v>1470</v>
      </c>
      <c r="B847" s="2" t="s">
        <v>198</v>
      </c>
      <c r="C847" s="2" t="s">
        <v>1471</v>
      </c>
      <c r="D847" s="2" t="s">
        <v>356</v>
      </c>
      <c r="E847" s="2">
        <v>2020</v>
      </c>
      <c r="F847" s="2" t="s">
        <v>337</v>
      </c>
      <c r="G847" s="2" t="s">
        <v>1669</v>
      </c>
      <c r="H847" s="2" t="s">
        <v>1669</v>
      </c>
      <c r="I847" s="1" t="s">
        <v>1472</v>
      </c>
      <c r="J847" s="1" t="s">
        <v>1473</v>
      </c>
      <c r="L847" s="34">
        <v>3.3000000000000002E-2</v>
      </c>
      <c r="M847" s="35"/>
      <c r="N847" s="35">
        <v>366</v>
      </c>
      <c r="O847" s="35"/>
      <c r="P847" s="35"/>
      <c r="Q847" s="35"/>
      <c r="R847" s="14"/>
      <c r="S847" s="14"/>
      <c r="T847" s="35"/>
      <c r="U847" s="35"/>
      <c r="V847" s="60" t="s">
        <v>1699</v>
      </c>
    </row>
    <row r="848" spans="1:22" ht="63.75" x14ac:dyDescent="0.2">
      <c r="A848" s="1" t="s">
        <v>372</v>
      </c>
      <c r="B848" s="2" t="s">
        <v>32</v>
      </c>
      <c r="C848" s="2" t="s">
        <v>373</v>
      </c>
      <c r="D848" s="2" t="s">
        <v>115</v>
      </c>
      <c r="E848" s="2">
        <v>2020</v>
      </c>
      <c r="F848" s="2" t="s">
        <v>221</v>
      </c>
      <c r="G848" s="2" t="s">
        <v>1667</v>
      </c>
      <c r="H848" s="2" t="s">
        <v>1669</v>
      </c>
      <c r="I848" s="1" t="s">
        <v>14</v>
      </c>
      <c r="J848" s="1" t="s">
        <v>773</v>
      </c>
      <c r="L848" s="34">
        <v>0.04</v>
      </c>
      <c r="M848" s="35"/>
      <c r="N848" s="35">
        <v>1700</v>
      </c>
      <c r="O848" s="35"/>
      <c r="P848" s="35"/>
      <c r="Q848" s="35"/>
      <c r="R848" s="14"/>
      <c r="S848" s="35"/>
      <c r="T848" s="35"/>
      <c r="U848" s="35"/>
      <c r="V848" s="60" t="s">
        <v>1699</v>
      </c>
    </row>
    <row r="849" spans="1:22" ht="140.25" x14ac:dyDescent="0.2">
      <c r="A849" s="1" t="s">
        <v>1355</v>
      </c>
      <c r="B849" s="2" t="s">
        <v>222</v>
      </c>
      <c r="C849" s="2" t="s">
        <v>219</v>
      </c>
      <c r="D849" s="2" t="s">
        <v>220</v>
      </c>
      <c r="E849" s="2">
        <v>2020</v>
      </c>
      <c r="F849" s="2" t="s">
        <v>337</v>
      </c>
      <c r="G849" s="2" t="s">
        <v>1669</v>
      </c>
      <c r="H849" s="2" t="s">
        <v>1668</v>
      </c>
      <c r="I849" s="1" t="s">
        <v>1356</v>
      </c>
      <c r="J849" s="1" t="s">
        <v>14</v>
      </c>
      <c r="L849" s="34"/>
      <c r="M849" s="35"/>
      <c r="N849" s="35"/>
      <c r="O849" s="35"/>
      <c r="P849" s="35"/>
      <c r="Q849" s="35"/>
      <c r="R849" s="14"/>
      <c r="S849" s="14"/>
      <c r="T849" s="35"/>
      <c r="U849" s="35"/>
      <c r="V849" s="60" t="s">
        <v>1695</v>
      </c>
    </row>
    <row r="850" spans="1:22" ht="25.5" x14ac:dyDescent="0.2">
      <c r="A850" s="1" t="s">
        <v>331</v>
      </c>
      <c r="B850" s="2" t="s">
        <v>277</v>
      </c>
      <c r="C850" s="2" t="s">
        <v>332</v>
      </c>
      <c r="D850" s="2" t="s">
        <v>333</v>
      </c>
      <c r="E850" s="2">
        <v>2020</v>
      </c>
      <c r="F850" s="2" t="s">
        <v>311</v>
      </c>
      <c r="G850" s="2" t="s">
        <v>1669</v>
      </c>
      <c r="H850" s="2" t="s">
        <v>1669</v>
      </c>
      <c r="I850" s="1" t="s">
        <v>1320</v>
      </c>
      <c r="J850" s="1" t="s">
        <v>1321</v>
      </c>
      <c r="L850" s="34" t="s">
        <v>1670</v>
      </c>
      <c r="M850" s="35"/>
      <c r="N850" s="35"/>
      <c r="O850" s="35"/>
      <c r="P850" s="35"/>
      <c r="Q850" s="35"/>
      <c r="R850" s="14"/>
      <c r="S850" s="14"/>
      <c r="T850" s="35"/>
      <c r="U850" s="35"/>
      <c r="V850" s="60" t="s">
        <v>1683</v>
      </c>
    </row>
    <row r="851" spans="1:22" ht="140.25" x14ac:dyDescent="0.2">
      <c r="A851" s="1" t="s">
        <v>1381</v>
      </c>
      <c r="B851" s="2" t="s">
        <v>196</v>
      </c>
      <c r="C851" s="2" t="s">
        <v>1382</v>
      </c>
      <c r="D851" s="2" t="s">
        <v>187</v>
      </c>
      <c r="E851" s="2">
        <v>2020</v>
      </c>
      <c r="F851" s="2" t="s">
        <v>337</v>
      </c>
      <c r="G851" s="2" t="s">
        <v>1669</v>
      </c>
      <c r="H851" s="2" t="s">
        <v>1668</v>
      </c>
      <c r="I851" s="1" t="s">
        <v>1383</v>
      </c>
      <c r="J851" s="1" t="s">
        <v>14</v>
      </c>
      <c r="L851" s="34"/>
      <c r="M851" s="35"/>
      <c r="N851" s="35"/>
      <c r="O851" s="35"/>
      <c r="P851" s="35"/>
      <c r="Q851" s="35"/>
      <c r="R851" s="14"/>
      <c r="S851" s="14"/>
      <c r="T851" s="35"/>
      <c r="U851" s="35"/>
      <c r="V851" s="60" t="s">
        <v>1693</v>
      </c>
    </row>
    <row r="852" spans="1:22" ht="89.25" x14ac:dyDescent="0.2">
      <c r="A852" s="1" t="s">
        <v>469</v>
      </c>
      <c r="B852" s="2" t="s">
        <v>198</v>
      </c>
      <c r="C852" s="2" t="s">
        <v>470</v>
      </c>
      <c r="D852" s="2" t="s">
        <v>240</v>
      </c>
      <c r="E852" s="2">
        <v>2020</v>
      </c>
      <c r="F852" s="2" t="s">
        <v>388</v>
      </c>
      <c r="G852" s="2" t="s">
        <v>1669</v>
      </c>
      <c r="H852" s="2" t="s">
        <v>1668</v>
      </c>
      <c r="I852" s="1" t="s">
        <v>1603</v>
      </c>
      <c r="J852" s="1" t="s">
        <v>14</v>
      </c>
      <c r="L852" s="34"/>
      <c r="M852" s="35"/>
      <c r="N852" s="35"/>
      <c r="O852" s="35"/>
      <c r="P852" s="35"/>
      <c r="Q852" s="35"/>
      <c r="R852" s="35"/>
      <c r="S852" s="35"/>
      <c r="T852" s="35"/>
      <c r="U852" s="35"/>
      <c r="V852" s="60" t="s">
        <v>1703</v>
      </c>
    </row>
    <row r="853" spans="1:22" ht="38.25" x14ac:dyDescent="0.2">
      <c r="A853" s="1" t="s">
        <v>250</v>
      </c>
      <c r="B853" s="2" t="s">
        <v>213</v>
      </c>
      <c r="C853" s="2" t="s">
        <v>251</v>
      </c>
      <c r="D853" s="2" t="s">
        <v>239</v>
      </c>
      <c r="E853" s="2">
        <v>2020</v>
      </c>
      <c r="F853" s="2" t="s">
        <v>311</v>
      </c>
      <c r="G853" s="2" t="s">
        <v>1669</v>
      </c>
      <c r="H853" s="2" t="s">
        <v>1669</v>
      </c>
      <c r="I853" s="1" t="s">
        <v>1323</v>
      </c>
      <c r="J853" s="1" t="s">
        <v>1324</v>
      </c>
      <c r="L853" s="34" t="s">
        <v>1670</v>
      </c>
      <c r="M853" s="35"/>
      <c r="N853" s="35"/>
      <c r="O853" s="35"/>
      <c r="P853" s="35"/>
      <c r="Q853" s="35"/>
      <c r="R853" s="14"/>
      <c r="S853" s="14"/>
      <c r="T853" s="35"/>
      <c r="U853" s="35">
        <v>100</v>
      </c>
      <c r="V853" s="60" t="s">
        <v>1682</v>
      </c>
    </row>
    <row r="854" spans="1:22" ht="25.5" x14ac:dyDescent="0.2">
      <c r="A854" s="1" t="s">
        <v>278</v>
      </c>
      <c r="B854" s="2" t="s">
        <v>279</v>
      </c>
      <c r="C854" s="2" t="s">
        <v>280</v>
      </c>
      <c r="D854" s="2" t="s">
        <v>184</v>
      </c>
      <c r="E854" s="2">
        <v>2020</v>
      </c>
      <c r="F854" s="2" t="s">
        <v>276</v>
      </c>
      <c r="G854" s="2" t="s">
        <v>1669</v>
      </c>
      <c r="H854" s="2" t="s">
        <v>1669</v>
      </c>
      <c r="I854" s="1" t="s">
        <v>1048</v>
      </c>
      <c r="J854" s="1" t="s">
        <v>1049</v>
      </c>
      <c r="L854" s="5" t="s">
        <v>1670</v>
      </c>
      <c r="M854" s="35"/>
      <c r="N854" s="35"/>
      <c r="O854" s="35"/>
      <c r="P854" s="35"/>
      <c r="Q854" s="35"/>
      <c r="R854" s="6"/>
      <c r="S854" s="6"/>
      <c r="T854" s="35"/>
      <c r="U854" s="35"/>
      <c r="V854" s="60" t="s">
        <v>1683</v>
      </c>
    </row>
    <row r="855" spans="1:22" ht="25.5" x14ac:dyDescent="0.2">
      <c r="A855" s="1" t="s">
        <v>278</v>
      </c>
      <c r="B855" s="2" t="s">
        <v>279</v>
      </c>
      <c r="C855" s="2" t="s">
        <v>280</v>
      </c>
      <c r="D855" s="2" t="s">
        <v>184</v>
      </c>
      <c r="E855" s="2">
        <v>2020</v>
      </c>
      <c r="F855" s="2" t="s">
        <v>364</v>
      </c>
      <c r="G855" s="2" t="s">
        <v>1669</v>
      </c>
      <c r="H855" s="2" t="s">
        <v>1669</v>
      </c>
      <c r="I855" s="1" t="s">
        <v>1550</v>
      </c>
      <c r="J855" s="1" t="s">
        <v>1551</v>
      </c>
      <c r="L855" s="5" t="s">
        <v>1670</v>
      </c>
      <c r="M855" s="35"/>
      <c r="N855" s="35"/>
      <c r="O855" s="35"/>
      <c r="P855" s="35"/>
      <c r="Q855" s="35"/>
      <c r="R855" s="6"/>
      <c r="S855" s="6"/>
      <c r="T855" s="35"/>
      <c r="U855" s="35"/>
      <c r="V855" s="60" t="s">
        <v>1683</v>
      </c>
    </row>
    <row r="856" spans="1:22" ht="165.75" x14ac:dyDescent="0.2">
      <c r="A856" s="1" t="s">
        <v>1181</v>
      </c>
      <c r="B856" s="2" t="s">
        <v>196</v>
      </c>
      <c r="C856" s="2" t="s">
        <v>1182</v>
      </c>
      <c r="D856" s="2" t="s">
        <v>36</v>
      </c>
      <c r="E856" s="2">
        <v>2020</v>
      </c>
      <c r="F856" s="2" t="s">
        <v>291</v>
      </c>
      <c r="G856" s="2" t="s">
        <v>1669</v>
      </c>
      <c r="H856" s="2" t="s">
        <v>1669</v>
      </c>
      <c r="I856" s="1" t="s">
        <v>1183</v>
      </c>
      <c r="J856" s="1" t="s">
        <v>1184</v>
      </c>
      <c r="L856" s="34">
        <v>4.4999999999999998E-2</v>
      </c>
      <c r="M856" s="35"/>
      <c r="N856" s="35">
        <f>596.3+245.14+509.8+381.38</f>
        <v>1732.62</v>
      </c>
      <c r="O856" s="35"/>
      <c r="P856" s="35"/>
      <c r="Q856" s="35"/>
      <c r="R856" s="14"/>
      <c r="S856" s="14"/>
      <c r="T856" s="35"/>
      <c r="U856" s="35"/>
      <c r="V856" s="60" t="s">
        <v>1699</v>
      </c>
    </row>
    <row r="857" spans="1:22" ht="63.75" x14ac:dyDescent="0.2">
      <c r="A857" s="1" t="s">
        <v>1099</v>
      </c>
      <c r="B857" s="2" t="s">
        <v>196</v>
      </c>
      <c r="C857" s="2" t="s">
        <v>1100</v>
      </c>
      <c r="D857" s="2" t="s">
        <v>223</v>
      </c>
      <c r="E857" s="2">
        <v>2020</v>
      </c>
      <c r="F857" s="2" t="s">
        <v>291</v>
      </c>
      <c r="G857" s="2" t="s">
        <v>1669</v>
      </c>
      <c r="H857" s="2" t="s">
        <v>1668</v>
      </c>
      <c r="I857" s="1" t="s">
        <v>1101</v>
      </c>
      <c r="J857" s="1" t="s">
        <v>14</v>
      </c>
      <c r="L857" s="34"/>
      <c r="M857" s="35"/>
      <c r="N857" s="35"/>
      <c r="O857" s="35"/>
      <c r="P857" s="35"/>
      <c r="Q857" s="35"/>
      <c r="R857" s="14"/>
      <c r="S857" s="14"/>
      <c r="T857" s="35"/>
      <c r="U857" s="35"/>
      <c r="V857" s="60" t="s">
        <v>1693</v>
      </c>
    </row>
    <row r="858" spans="1:22" ht="51" x14ac:dyDescent="0.2">
      <c r="A858" s="1" t="s">
        <v>401</v>
      </c>
      <c r="B858" s="2" t="s">
        <v>196</v>
      </c>
      <c r="C858" s="2" t="s">
        <v>402</v>
      </c>
      <c r="D858" s="2" t="s">
        <v>100</v>
      </c>
      <c r="E858" s="2">
        <v>2020</v>
      </c>
      <c r="F858" s="2" t="s">
        <v>364</v>
      </c>
      <c r="G858" s="2" t="s">
        <v>1668</v>
      </c>
      <c r="H858" s="2" t="s">
        <v>1669</v>
      </c>
      <c r="I858" s="1" t="s">
        <v>14</v>
      </c>
      <c r="J858" s="1" t="s">
        <v>1490</v>
      </c>
      <c r="L858" s="42">
        <v>0.25090000000000001</v>
      </c>
      <c r="M858" s="35"/>
      <c r="N858" s="35">
        <v>674.12</v>
      </c>
      <c r="O858" s="35"/>
      <c r="P858" s="35"/>
      <c r="Q858" s="35"/>
      <c r="R858" s="14"/>
      <c r="S858" s="14"/>
      <c r="T858" s="35"/>
      <c r="U858" s="35"/>
    </row>
    <row r="859" spans="1:22" ht="25.5" x14ac:dyDescent="0.2">
      <c r="A859" s="1" t="s">
        <v>453</v>
      </c>
      <c r="B859" s="2" t="s">
        <v>196</v>
      </c>
      <c r="C859" s="2" t="s">
        <v>454</v>
      </c>
      <c r="D859" s="2" t="s">
        <v>58</v>
      </c>
      <c r="E859" s="2">
        <v>2020</v>
      </c>
      <c r="F859" s="2" t="s">
        <v>291</v>
      </c>
      <c r="G859" s="2" t="s">
        <v>1668</v>
      </c>
      <c r="H859" s="2" t="s">
        <v>1669</v>
      </c>
      <c r="I859" s="1" t="s">
        <v>14</v>
      </c>
      <c r="J859" s="1" t="s">
        <v>1140</v>
      </c>
      <c r="L859" s="34" t="s">
        <v>1670</v>
      </c>
      <c r="M859" s="35"/>
      <c r="N859" s="35">
        <v>155.88999999999999</v>
      </c>
      <c r="O859" s="35"/>
      <c r="P859" s="35"/>
      <c r="Q859" s="35"/>
      <c r="R859" s="14"/>
      <c r="S859" s="14"/>
      <c r="T859" s="35"/>
      <c r="U859" s="35"/>
    </row>
    <row r="860" spans="1:22" ht="331.5" x14ac:dyDescent="0.2">
      <c r="A860" s="1" t="s">
        <v>1224</v>
      </c>
      <c r="B860" s="2" t="s">
        <v>196</v>
      </c>
      <c r="C860" s="2" t="s">
        <v>1225</v>
      </c>
      <c r="D860" s="2" t="s">
        <v>346</v>
      </c>
      <c r="E860" s="2">
        <v>2020</v>
      </c>
      <c r="F860" s="2" t="s">
        <v>311</v>
      </c>
      <c r="G860" s="2" t="s">
        <v>1669</v>
      </c>
      <c r="H860" s="2" t="s">
        <v>1669</v>
      </c>
      <c r="I860" s="1" t="s">
        <v>1226</v>
      </c>
      <c r="J860" s="1" t="s">
        <v>1227</v>
      </c>
      <c r="L860" s="34">
        <v>0.29699999999999999</v>
      </c>
      <c r="M860" s="35"/>
      <c r="N860" s="37">
        <f>(4510+4390)*0.04/0.297*0.8</f>
        <v>958.92255892255889</v>
      </c>
      <c r="O860" s="35"/>
      <c r="P860" s="35"/>
      <c r="Q860" s="35"/>
      <c r="R860" s="14"/>
      <c r="S860" s="14"/>
      <c r="T860" s="35"/>
      <c r="U860" s="35"/>
      <c r="V860" s="60" t="s">
        <v>1716</v>
      </c>
    </row>
    <row r="861" spans="1:22" ht="38.25" x14ac:dyDescent="0.2">
      <c r="A861" s="1" t="s">
        <v>1339</v>
      </c>
      <c r="B861" s="2" t="s">
        <v>213</v>
      </c>
      <c r="C861" s="2" t="s">
        <v>1340</v>
      </c>
      <c r="D861" s="2" t="s">
        <v>88</v>
      </c>
      <c r="E861" s="2">
        <v>2020</v>
      </c>
      <c r="F861" s="2" t="s">
        <v>337</v>
      </c>
      <c r="G861" s="2" t="s">
        <v>1667</v>
      </c>
      <c r="H861" s="2" t="s">
        <v>1669</v>
      </c>
      <c r="I861" s="1" t="s">
        <v>14</v>
      </c>
      <c r="J861" s="1" t="s">
        <v>1341</v>
      </c>
      <c r="L861" s="34" t="s">
        <v>1670</v>
      </c>
      <c r="M861" s="35"/>
      <c r="N861" s="35"/>
      <c r="O861" s="35"/>
      <c r="P861" s="35"/>
      <c r="Q861" s="35"/>
      <c r="R861" s="14"/>
      <c r="S861" s="14"/>
      <c r="T861" s="35"/>
      <c r="U861" s="35">
        <v>10</v>
      </c>
      <c r="V861" s="60" t="s">
        <v>1682</v>
      </c>
    </row>
    <row r="862" spans="1:22" ht="25.5" x14ac:dyDescent="0.2">
      <c r="A862" s="1" t="s">
        <v>83</v>
      </c>
      <c r="B862" s="2" t="s">
        <v>38</v>
      </c>
      <c r="C862" s="2" t="s">
        <v>84</v>
      </c>
      <c r="D862" s="2" t="s">
        <v>85</v>
      </c>
      <c r="E862" s="2">
        <v>2020</v>
      </c>
      <c r="F862" s="2" t="s">
        <v>13</v>
      </c>
      <c r="G862" s="2" t="s">
        <v>1667</v>
      </c>
      <c r="H862" s="2" t="s">
        <v>1669</v>
      </c>
      <c r="I862" s="1" t="s">
        <v>14</v>
      </c>
      <c r="J862" s="1" t="s">
        <v>535</v>
      </c>
      <c r="L862" s="34">
        <v>0.1363</v>
      </c>
      <c r="M862" s="35"/>
      <c r="N862" s="35"/>
      <c r="O862" s="35"/>
      <c r="P862" s="35"/>
      <c r="Q862" s="35"/>
      <c r="R862" s="35"/>
      <c r="S862" s="35"/>
      <c r="T862" s="35"/>
      <c r="U862" s="35"/>
      <c r="V862" s="60" t="s">
        <v>1683</v>
      </c>
    </row>
    <row r="863" spans="1:22" ht="38.25" x14ac:dyDescent="0.2">
      <c r="A863" s="1" t="s">
        <v>83</v>
      </c>
      <c r="B863" s="2" t="s">
        <v>38</v>
      </c>
      <c r="C863" s="2" t="s">
        <v>84</v>
      </c>
      <c r="D863" s="2" t="s">
        <v>85</v>
      </c>
      <c r="E863" s="2">
        <v>2020</v>
      </c>
      <c r="F863" s="2" t="s">
        <v>221</v>
      </c>
      <c r="G863" s="2" t="s">
        <v>1667</v>
      </c>
      <c r="H863" s="2" t="s">
        <v>1669</v>
      </c>
      <c r="I863" s="1" t="s">
        <v>14</v>
      </c>
      <c r="J863" s="1" t="s">
        <v>806</v>
      </c>
      <c r="L863" s="34">
        <v>0.19500000000000001</v>
      </c>
      <c r="M863" s="35"/>
      <c r="N863" s="35">
        <v>48.94</v>
      </c>
      <c r="O863" s="35"/>
      <c r="P863" s="35"/>
      <c r="Q863" s="35"/>
      <c r="R863" s="14"/>
      <c r="S863" s="14"/>
      <c r="T863" s="35"/>
      <c r="U863" s="35"/>
    </row>
    <row r="864" spans="1:22" ht="25.5" x14ac:dyDescent="0.2">
      <c r="A864" s="1" t="s">
        <v>83</v>
      </c>
      <c r="B864" s="2" t="s">
        <v>38</v>
      </c>
      <c r="C864" s="2" t="s">
        <v>84</v>
      </c>
      <c r="D864" s="2" t="s">
        <v>85</v>
      </c>
      <c r="E864" s="2">
        <v>2020</v>
      </c>
      <c r="F864" s="2" t="s">
        <v>311</v>
      </c>
      <c r="G864" s="2" t="s">
        <v>1667</v>
      </c>
      <c r="H864" s="2" t="s">
        <v>1669</v>
      </c>
      <c r="I864" s="1" t="s">
        <v>14</v>
      </c>
      <c r="J864" s="1" t="s">
        <v>1303</v>
      </c>
      <c r="L864" s="34">
        <v>0.224</v>
      </c>
      <c r="M864" s="35"/>
      <c r="N864" s="35">
        <v>31.22</v>
      </c>
      <c r="O864" s="35"/>
      <c r="P864" s="35"/>
      <c r="Q864" s="35"/>
      <c r="R864" s="14"/>
      <c r="S864" s="14"/>
      <c r="T864" s="35"/>
      <c r="U864" s="35"/>
    </row>
    <row r="865" spans="1:22" ht="25.5" x14ac:dyDescent="0.2">
      <c r="A865" s="1" t="s">
        <v>83</v>
      </c>
      <c r="B865" s="2" t="s">
        <v>38</v>
      </c>
      <c r="C865" s="2" t="s">
        <v>84</v>
      </c>
      <c r="D865" s="2" t="s">
        <v>85</v>
      </c>
      <c r="E865" s="2">
        <v>2020</v>
      </c>
      <c r="F865" s="2" t="s">
        <v>337</v>
      </c>
      <c r="G865" s="2" t="s">
        <v>1667</v>
      </c>
      <c r="H865" s="2" t="s">
        <v>1669</v>
      </c>
      <c r="I865" s="1" t="s">
        <v>14</v>
      </c>
      <c r="J865" s="1" t="s">
        <v>1361</v>
      </c>
      <c r="L865" s="34" t="s">
        <v>1670</v>
      </c>
      <c r="M865" s="35"/>
      <c r="N865" s="35"/>
      <c r="O865" s="35"/>
      <c r="P865" s="35"/>
      <c r="Q865" s="35"/>
      <c r="R865" s="14"/>
      <c r="S865" s="14"/>
      <c r="T865" s="35"/>
      <c r="U865" s="35"/>
      <c r="V865" s="60" t="s">
        <v>1683</v>
      </c>
    </row>
    <row r="866" spans="1:22" ht="25.5" x14ac:dyDescent="0.2">
      <c r="A866" s="1" t="s">
        <v>83</v>
      </c>
      <c r="B866" s="2" t="s">
        <v>38</v>
      </c>
      <c r="C866" s="2" t="s">
        <v>84</v>
      </c>
      <c r="D866" s="2" t="s">
        <v>85</v>
      </c>
      <c r="E866" s="2">
        <v>2020</v>
      </c>
      <c r="F866" s="2" t="s">
        <v>364</v>
      </c>
      <c r="G866" s="2" t="s">
        <v>1667</v>
      </c>
      <c r="H866" s="2" t="s">
        <v>1669</v>
      </c>
      <c r="I866" s="1" t="s">
        <v>14</v>
      </c>
      <c r="J866" s="1" t="s">
        <v>1558</v>
      </c>
      <c r="L866" s="34">
        <v>0.32900000000000001</v>
      </c>
      <c r="M866" s="35"/>
      <c r="N866" s="35">
        <v>27.34</v>
      </c>
      <c r="O866" s="35"/>
      <c r="P866" s="35"/>
      <c r="Q866" s="35"/>
      <c r="R866" s="14"/>
      <c r="S866" s="14"/>
      <c r="T866" s="35"/>
      <c r="U866" s="35"/>
    </row>
    <row r="867" spans="1:22" ht="25.5" x14ac:dyDescent="0.2">
      <c r="A867" s="1" t="s">
        <v>83</v>
      </c>
      <c r="B867" s="2" t="s">
        <v>38</v>
      </c>
      <c r="C867" s="2" t="s">
        <v>84</v>
      </c>
      <c r="D867" s="2" t="s">
        <v>85</v>
      </c>
      <c r="E867" s="2">
        <v>2020</v>
      </c>
      <c r="F867" s="2" t="s">
        <v>388</v>
      </c>
      <c r="G867" s="2" t="s">
        <v>1667</v>
      </c>
      <c r="H867" s="2" t="s">
        <v>1669</v>
      </c>
      <c r="I867" s="1" t="s">
        <v>14</v>
      </c>
      <c r="J867" s="1" t="s">
        <v>1628</v>
      </c>
      <c r="L867" s="34">
        <v>0.123</v>
      </c>
      <c r="M867" s="35"/>
      <c r="N867" s="35"/>
      <c r="O867" s="35"/>
      <c r="P867" s="35"/>
      <c r="Q867" s="35"/>
      <c r="R867" s="35"/>
      <c r="S867" s="35"/>
      <c r="T867" s="35"/>
      <c r="U867" s="35"/>
      <c r="V867" s="60" t="s">
        <v>1683</v>
      </c>
    </row>
    <row r="868" spans="1:22" ht="51" x14ac:dyDescent="0.2">
      <c r="A868" s="1" t="s">
        <v>468</v>
      </c>
      <c r="B868" s="2" t="s">
        <v>218</v>
      </c>
      <c r="C868" s="2" t="s">
        <v>84</v>
      </c>
      <c r="D868" s="2" t="s">
        <v>85</v>
      </c>
      <c r="E868" s="2">
        <v>2020</v>
      </c>
      <c r="F868" s="2" t="s">
        <v>364</v>
      </c>
      <c r="G868" s="2" t="s">
        <v>1669</v>
      </c>
      <c r="H868" s="2" t="s">
        <v>1669</v>
      </c>
      <c r="I868" s="1" t="s">
        <v>1563</v>
      </c>
      <c r="J868" s="1" t="s">
        <v>1564</v>
      </c>
      <c r="L868" s="34">
        <v>0.03</v>
      </c>
      <c r="M868" s="35"/>
      <c r="N868" s="35">
        <v>220</v>
      </c>
      <c r="O868" s="35"/>
      <c r="P868" s="35"/>
      <c r="Q868" s="35"/>
      <c r="R868" s="14"/>
      <c r="S868" s="14"/>
      <c r="T868" s="35"/>
      <c r="U868" s="35"/>
      <c r="V868" s="60" t="s">
        <v>1699</v>
      </c>
    </row>
    <row r="869" spans="1:22" ht="51" x14ac:dyDescent="0.2">
      <c r="A869" s="1" t="s">
        <v>1415</v>
      </c>
      <c r="B869" s="2" t="s">
        <v>232</v>
      </c>
      <c r="C869" s="2" t="s">
        <v>1416</v>
      </c>
      <c r="D869" s="2" t="s">
        <v>1417</v>
      </c>
      <c r="E869" s="2">
        <v>2020</v>
      </c>
      <c r="F869" s="2" t="s">
        <v>337</v>
      </c>
      <c r="G869" s="2" t="s">
        <v>1669</v>
      </c>
      <c r="H869" s="2" t="s">
        <v>1669</v>
      </c>
      <c r="I869" s="1" t="s">
        <v>1418</v>
      </c>
      <c r="J869" s="1" t="s">
        <v>1419</v>
      </c>
      <c r="L869" s="34" t="s">
        <v>1670</v>
      </c>
      <c r="M869" s="35"/>
      <c r="N869" s="35"/>
      <c r="O869" s="35"/>
      <c r="P869" s="35"/>
      <c r="Q869" s="35"/>
      <c r="R869" s="14"/>
      <c r="S869" s="14"/>
      <c r="T869" s="35"/>
      <c r="U869" s="35"/>
      <c r="V869" s="60" t="s">
        <v>1683</v>
      </c>
    </row>
    <row r="870" spans="1:22" ht="89.25" x14ac:dyDescent="0.2">
      <c r="A870" s="1" t="s">
        <v>1206</v>
      </c>
      <c r="B870" s="2" t="s">
        <v>1207</v>
      </c>
      <c r="C870" s="2" t="s">
        <v>1208</v>
      </c>
      <c r="D870" s="2" t="s">
        <v>167</v>
      </c>
      <c r="E870" s="2">
        <v>2020</v>
      </c>
      <c r="F870" s="2" t="s">
        <v>311</v>
      </c>
      <c r="G870" s="2" t="s">
        <v>1669</v>
      </c>
      <c r="H870" s="2" t="s">
        <v>1669</v>
      </c>
      <c r="I870" s="1" t="s">
        <v>1209</v>
      </c>
      <c r="J870" s="1" t="s">
        <v>1210</v>
      </c>
      <c r="L870" s="34" t="s">
        <v>1670</v>
      </c>
      <c r="M870" s="35"/>
      <c r="N870" s="35"/>
      <c r="O870" s="35"/>
      <c r="P870" s="35"/>
      <c r="Q870" s="35"/>
      <c r="R870" s="14"/>
      <c r="S870" s="14"/>
      <c r="T870" s="35"/>
      <c r="U870" s="35">
        <f>15.3+6.56</f>
        <v>21.86</v>
      </c>
      <c r="V870" s="60" t="s">
        <v>1682</v>
      </c>
    </row>
    <row r="871" spans="1:22" ht="76.5" x14ac:dyDescent="0.2">
      <c r="A871" s="1" t="s">
        <v>263</v>
      </c>
      <c r="B871" s="2" t="s">
        <v>264</v>
      </c>
      <c r="C871" s="2" t="s">
        <v>265</v>
      </c>
      <c r="D871" s="2" t="s">
        <v>220</v>
      </c>
      <c r="E871" s="2">
        <v>2020</v>
      </c>
      <c r="F871" s="2" t="s">
        <v>256</v>
      </c>
      <c r="G871" s="2" t="s">
        <v>1669</v>
      </c>
      <c r="H871" s="2" t="s">
        <v>1669</v>
      </c>
      <c r="I871" s="1" t="s">
        <v>906</v>
      </c>
      <c r="J871" s="1" t="s">
        <v>907</v>
      </c>
      <c r="L871" s="5" t="s">
        <v>1670</v>
      </c>
      <c r="M871" s="35"/>
      <c r="N871" s="35"/>
      <c r="O871" s="35"/>
      <c r="P871" s="35"/>
      <c r="Q871" s="35"/>
      <c r="R871" s="6"/>
      <c r="S871" s="6"/>
      <c r="T871" s="35"/>
      <c r="U871" s="35">
        <v>96.96</v>
      </c>
      <c r="V871" s="60" t="s">
        <v>1682</v>
      </c>
    </row>
    <row r="872" spans="1:22" ht="25.5" x14ac:dyDescent="0.2">
      <c r="A872" s="1" t="s">
        <v>433</v>
      </c>
      <c r="B872" s="2" t="s">
        <v>301</v>
      </c>
      <c r="C872" s="2" t="s">
        <v>434</v>
      </c>
      <c r="D872" s="2" t="s">
        <v>346</v>
      </c>
      <c r="E872" s="2">
        <v>2020</v>
      </c>
      <c r="F872" s="2" t="s">
        <v>256</v>
      </c>
      <c r="G872" s="2" t="s">
        <v>1669</v>
      </c>
      <c r="H872" s="2" t="s">
        <v>1668</v>
      </c>
      <c r="I872" s="1" t="s">
        <v>892</v>
      </c>
      <c r="J872" s="1" t="s">
        <v>14</v>
      </c>
      <c r="L872" s="34"/>
      <c r="M872" s="35"/>
      <c r="N872" s="35"/>
      <c r="O872" s="35"/>
      <c r="P872" s="35"/>
      <c r="Q872" s="35"/>
      <c r="R872" s="14"/>
      <c r="S872" s="14"/>
      <c r="T872" s="35"/>
      <c r="U872" s="35"/>
      <c r="V872" s="61" t="s">
        <v>1714</v>
      </c>
    </row>
    <row r="873" spans="1:22" ht="25.5" x14ac:dyDescent="0.2">
      <c r="A873" s="1" t="s">
        <v>421</v>
      </c>
      <c r="B873" s="2" t="s">
        <v>222</v>
      </c>
      <c r="C873" s="2" t="s">
        <v>422</v>
      </c>
      <c r="D873" s="2" t="s">
        <v>129</v>
      </c>
      <c r="E873" s="2">
        <v>2020</v>
      </c>
      <c r="F873" s="2" t="s">
        <v>256</v>
      </c>
      <c r="G873" s="2" t="s">
        <v>1669</v>
      </c>
      <c r="H873" s="2" t="s">
        <v>1668</v>
      </c>
      <c r="I873" s="1" t="s">
        <v>889</v>
      </c>
      <c r="J873" s="1" t="s">
        <v>14</v>
      </c>
      <c r="L873" s="34"/>
      <c r="M873" s="35"/>
      <c r="N873" s="35"/>
      <c r="O873" s="35"/>
      <c r="P873" s="35"/>
      <c r="Q873" s="35"/>
      <c r="R873" s="14"/>
      <c r="S873" s="14"/>
      <c r="T873" s="35"/>
      <c r="U873" s="35"/>
      <c r="V873" s="61" t="s">
        <v>1714</v>
      </c>
    </row>
    <row r="874" spans="1:22" ht="51" x14ac:dyDescent="0.2">
      <c r="A874" s="1" t="s">
        <v>1080</v>
      </c>
      <c r="B874" s="2" t="s">
        <v>196</v>
      </c>
      <c r="C874" s="2" t="s">
        <v>1081</v>
      </c>
      <c r="D874" s="2" t="s">
        <v>346</v>
      </c>
      <c r="E874" s="2">
        <v>2020</v>
      </c>
      <c r="F874" s="2" t="s">
        <v>291</v>
      </c>
      <c r="G874" s="2" t="s">
        <v>1669</v>
      </c>
      <c r="H874" s="2" t="s">
        <v>1668</v>
      </c>
      <c r="I874" s="1" t="s">
        <v>1082</v>
      </c>
      <c r="J874" s="1" t="s">
        <v>14</v>
      </c>
      <c r="L874" s="34">
        <v>3.2000000000000001E-2</v>
      </c>
      <c r="M874" s="35"/>
      <c r="N874" s="35"/>
      <c r="O874" s="35"/>
      <c r="P874" s="35"/>
      <c r="Q874" s="35"/>
      <c r="R874" s="14"/>
      <c r="S874" s="14"/>
      <c r="T874" s="35"/>
      <c r="U874" s="35">
        <f>645+360</f>
        <v>1005</v>
      </c>
      <c r="V874" s="60" t="s">
        <v>1740</v>
      </c>
    </row>
    <row r="875" spans="1:22" ht="51" x14ac:dyDescent="0.2">
      <c r="A875" s="1" t="s">
        <v>1525</v>
      </c>
      <c r="B875" s="2" t="s">
        <v>264</v>
      </c>
      <c r="C875" s="2" t="s">
        <v>1526</v>
      </c>
      <c r="D875" s="2" t="s">
        <v>77</v>
      </c>
      <c r="E875" s="2">
        <v>2020</v>
      </c>
      <c r="F875" s="2" t="s">
        <v>364</v>
      </c>
      <c r="G875" s="2" t="s">
        <v>1669</v>
      </c>
      <c r="H875" s="2" t="s">
        <v>1668</v>
      </c>
      <c r="I875" s="1" t="s">
        <v>1527</v>
      </c>
      <c r="J875" s="1" t="s">
        <v>14</v>
      </c>
      <c r="L875" s="34" t="s">
        <v>1670</v>
      </c>
      <c r="M875" s="35"/>
      <c r="N875" s="35"/>
      <c r="O875" s="35"/>
      <c r="P875" s="35"/>
      <c r="Q875" s="35"/>
      <c r="R875" s="14"/>
      <c r="S875" s="14"/>
      <c r="T875" s="35"/>
      <c r="U875" s="35">
        <v>117</v>
      </c>
      <c r="V875" s="60" t="s">
        <v>1740</v>
      </c>
    </row>
    <row r="876" spans="1:22" ht="140.25" x14ac:dyDescent="0.2">
      <c r="A876" s="1" t="s">
        <v>776</v>
      </c>
      <c r="B876" s="2" t="s">
        <v>196</v>
      </c>
      <c r="C876" s="2" t="s">
        <v>777</v>
      </c>
      <c r="D876" s="2" t="s">
        <v>58</v>
      </c>
      <c r="E876" s="2">
        <v>2020</v>
      </c>
      <c r="F876" s="2" t="s">
        <v>221</v>
      </c>
      <c r="G876" s="2" t="s">
        <v>1669</v>
      </c>
      <c r="H876" s="2" t="s">
        <v>1669</v>
      </c>
      <c r="I876" s="1" t="s">
        <v>778</v>
      </c>
      <c r="J876" s="1" t="s">
        <v>779</v>
      </c>
      <c r="L876" s="34">
        <v>0.19</v>
      </c>
      <c r="M876" s="35"/>
      <c r="N876" s="35">
        <f>56.04+36.85+36.67+33.61+87.04</f>
        <v>250.21000000000004</v>
      </c>
      <c r="P876" s="35"/>
      <c r="Q876" s="35"/>
      <c r="R876" s="14"/>
      <c r="S876" s="35"/>
      <c r="T876" s="35"/>
      <c r="U876" s="35"/>
      <c r="V876" s="60" t="s">
        <v>1737</v>
      </c>
    </row>
    <row r="877" spans="1:22" ht="229.5" x14ac:dyDescent="0.2">
      <c r="A877" s="1" t="s">
        <v>776</v>
      </c>
      <c r="B877" s="2" t="s">
        <v>196</v>
      </c>
      <c r="C877" s="2" t="s">
        <v>777</v>
      </c>
      <c r="D877" s="2" t="s">
        <v>58</v>
      </c>
      <c r="E877" s="2">
        <v>2020</v>
      </c>
      <c r="F877" s="2" t="s">
        <v>256</v>
      </c>
      <c r="G877" s="2" t="s">
        <v>1669</v>
      </c>
      <c r="H877" s="2" t="s">
        <v>1669</v>
      </c>
      <c r="I877" s="1" t="s">
        <v>921</v>
      </c>
      <c r="J877" s="1" t="s">
        <v>1717</v>
      </c>
      <c r="L877" s="34">
        <v>0.24</v>
      </c>
      <c r="M877" s="35"/>
      <c r="N877" s="35">
        <f>31.82+286.37+150.76+135+175.13+116.45+428.56+176.12</f>
        <v>1500.21</v>
      </c>
      <c r="O877" s="35"/>
      <c r="P877" s="35"/>
      <c r="Q877" s="35"/>
      <c r="R877" s="14"/>
      <c r="S877" s="14"/>
      <c r="T877" s="35"/>
      <c r="U877" s="35"/>
      <c r="V877" s="60" t="s">
        <v>1746</v>
      </c>
    </row>
    <row r="878" spans="1:22" ht="25.5" x14ac:dyDescent="0.2">
      <c r="A878" s="1" t="s">
        <v>37</v>
      </c>
      <c r="B878" s="2" t="s">
        <v>38</v>
      </c>
      <c r="C878" s="2" t="s">
        <v>39</v>
      </c>
      <c r="D878" s="2" t="s">
        <v>40</v>
      </c>
      <c r="E878" s="2">
        <v>2020</v>
      </c>
      <c r="F878" s="2" t="s">
        <v>13</v>
      </c>
      <c r="G878" s="2" t="s">
        <v>1667</v>
      </c>
      <c r="H878" s="2" t="s">
        <v>1669</v>
      </c>
      <c r="I878" s="1" t="s">
        <v>14</v>
      </c>
      <c r="J878" s="1" t="s">
        <v>531</v>
      </c>
      <c r="L878" s="34" t="s">
        <v>1670</v>
      </c>
      <c r="M878" s="35"/>
      <c r="N878" s="35">
        <v>1140</v>
      </c>
      <c r="O878" s="35"/>
      <c r="P878" s="35"/>
      <c r="Q878" s="35"/>
      <c r="R878" s="35"/>
      <c r="S878" s="35"/>
      <c r="T878" s="35"/>
      <c r="U878" s="35"/>
    </row>
    <row r="879" spans="1:22" ht="38.25" x14ac:dyDescent="0.2">
      <c r="A879" s="1" t="s">
        <v>37</v>
      </c>
      <c r="B879" s="2" t="s">
        <v>38</v>
      </c>
      <c r="C879" s="2" t="s">
        <v>39</v>
      </c>
      <c r="D879" s="2" t="s">
        <v>40</v>
      </c>
      <c r="E879" s="2">
        <v>2020</v>
      </c>
      <c r="F879" s="2" t="s">
        <v>188</v>
      </c>
      <c r="G879" s="2" t="s">
        <v>1667</v>
      </c>
      <c r="H879" s="2" t="s">
        <v>1669</v>
      </c>
      <c r="I879" s="1" t="s">
        <v>14</v>
      </c>
      <c r="J879" s="1" t="s">
        <v>587</v>
      </c>
      <c r="L879" s="34" t="s">
        <v>1670</v>
      </c>
      <c r="M879" s="35"/>
      <c r="N879" s="35">
        <v>1194</v>
      </c>
      <c r="O879" s="35"/>
      <c r="P879" s="35"/>
      <c r="Q879" s="35"/>
      <c r="R879" s="14"/>
      <c r="S879" s="35"/>
      <c r="T879" s="35"/>
      <c r="U879" s="35"/>
      <c r="V879" s="60" t="s">
        <v>1681</v>
      </c>
    </row>
    <row r="880" spans="1:22" ht="38.25" x14ac:dyDescent="0.2">
      <c r="A880" s="1" t="s">
        <v>37</v>
      </c>
      <c r="B880" s="2" t="s">
        <v>38</v>
      </c>
      <c r="C880" s="2" t="s">
        <v>39</v>
      </c>
      <c r="D880" s="2" t="s">
        <v>40</v>
      </c>
      <c r="E880" s="2">
        <v>2020</v>
      </c>
      <c r="F880" s="2" t="s">
        <v>203</v>
      </c>
      <c r="G880" s="2" t="s">
        <v>1667</v>
      </c>
      <c r="H880" s="2" t="s">
        <v>1669</v>
      </c>
      <c r="I880" s="1" t="s">
        <v>14</v>
      </c>
      <c r="J880" s="1" t="s">
        <v>622</v>
      </c>
      <c r="L880" s="34" t="s">
        <v>1670</v>
      </c>
      <c r="M880" s="35">
        <v>106</v>
      </c>
      <c r="N880" s="35">
        <v>716</v>
      </c>
      <c r="O880" s="35"/>
      <c r="P880" s="35"/>
      <c r="Q880" s="35"/>
      <c r="R880" s="14"/>
      <c r="S880" s="35"/>
      <c r="T880" s="35"/>
      <c r="U880" s="35"/>
    </row>
    <row r="881" spans="1:22" ht="38.25" x14ac:dyDescent="0.2">
      <c r="A881" s="1" t="s">
        <v>37</v>
      </c>
      <c r="B881" s="2" t="s">
        <v>38</v>
      </c>
      <c r="C881" s="2" t="s">
        <v>39</v>
      </c>
      <c r="D881" s="2" t="s">
        <v>40</v>
      </c>
      <c r="E881" s="2">
        <v>2020</v>
      </c>
      <c r="F881" s="2" t="s">
        <v>211</v>
      </c>
      <c r="G881" s="2" t="s">
        <v>1667</v>
      </c>
      <c r="H881" s="2" t="s">
        <v>1669</v>
      </c>
      <c r="I881" s="1" t="s">
        <v>14</v>
      </c>
      <c r="J881" s="1" t="s">
        <v>738</v>
      </c>
      <c r="L881" s="34" t="s">
        <v>1670</v>
      </c>
      <c r="M881" s="35">
        <v>425</v>
      </c>
      <c r="N881" s="35">
        <v>425</v>
      </c>
      <c r="O881" s="35"/>
      <c r="P881" s="35"/>
      <c r="Q881" s="35"/>
      <c r="R881" s="14"/>
      <c r="S881" s="35"/>
      <c r="T881" s="35"/>
      <c r="U881" s="35"/>
      <c r="V881" s="60" t="s">
        <v>1721</v>
      </c>
    </row>
    <row r="882" spans="1:22" ht="25.5" x14ac:dyDescent="0.2">
      <c r="A882" s="1" t="s">
        <v>37</v>
      </c>
      <c r="B882" s="2" t="s">
        <v>38</v>
      </c>
      <c r="C882" s="2" t="s">
        <v>39</v>
      </c>
      <c r="D882" s="2" t="s">
        <v>40</v>
      </c>
      <c r="E882" s="2">
        <v>2020</v>
      </c>
      <c r="F882" s="2" t="s">
        <v>221</v>
      </c>
      <c r="G882" s="2" t="s">
        <v>1667</v>
      </c>
      <c r="H882" s="2" t="s">
        <v>1669</v>
      </c>
      <c r="I882" s="1" t="s">
        <v>14</v>
      </c>
      <c r="J882" s="1" t="s">
        <v>828</v>
      </c>
      <c r="L882" s="34" t="s">
        <v>1670</v>
      </c>
      <c r="M882" s="35"/>
      <c r="N882" s="35">
        <v>988</v>
      </c>
      <c r="O882" s="35"/>
      <c r="P882" s="35"/>
      <c r="Q882" s="35"/>
      <c r="R882" s="14"/>
      <c r="S882" s="14"/>
      <c r="T882" s="35"/>
      <c r="U882" s="35"/>
    </row>
    <row r="883" spans="1:22" ht="38.25" x14ac:dyDescent="0.2">
      <c r="A883" s="1" t="s">
        <v>37</v>
      </c>
      <c r="B883" s="2" t="s">
        <v>38</v>
      </c>
      <c r="C883" s="2" t="s">
        <v>39</v>
      </c>
      <c r="D883" s="2" t="s">
        <v>40</v>
      </c>
      <c r="E883" s="2">
        <v>2020</v>
      </c>
      <c r="F883" s="2" t="s">
        <v>256</v>
      </c>
      <c r="G883" s="2" t="s">
        <v>1667</v>
      </c>
      <c r="H883" s="2" t="s">
        <v>1669</v>
      </c>
      <c r="I883" s="1" t="s">
        <v>14</v>
      </c>
      <c r="J883" s="1" t="s">
        <v>913</v>
      </c>
      <c r="L883" s="34" t="s">
        <v>1670</v>
      </c>
      <c r="M883" s="35"/>
      <c r="N883" s="35">
        <v>1166</v>
      </c>
      <c r="O883" s="35"/>
      <c r="P883" s="35"/>
      <c r="Q883" s="35"/>
      <c r="R883" s="14"/>
      <c r="S883" s="14"/>
      <c r="T883" s="35"/>
      <c r="U883" s="35"/>
      <c r="V883" s="60" t="s">
        <v>1681</v>
      </c>
    </row>
    <row r="884" spans="1:22" ht="38.25" x14ac:dyDescent="0.2">
      <c r="A884" s="1" t="s">
        <v>37</v>
      </c>
      <c r="B884" s="2" t="s">
        <v>38</v>
      </c>
      <c r="C884" s="2" t="s">
        <v>39</v>
      </c>
      <c r="D884" s="2" t="s">
        <v>40</v>
      </c>
      <c r="E884" s="2">
        <v>2020</v>
      </c>
      <c r="F884" s="2" t="s">
        <v>276</v>
      </c>
      <c r="G884" s="2" t="s">
        <v>1667</v>
      </c>
      <c r="H884" s="2" t="s">
        <v>1669</v>
      </c>
      <c r="I884" s="1" t="s">
        <v>14</v>
      </c>
      <c r="J884" s="1" t="s">
        <v>987</v>
      </c>
      <c r="L884" s="34" t="s">
        <v>1670</v>
      </c>
      <c r="M884" s="35"/>
      <c r="N884" s="35">
        <v>856</v>
      </c>
      <c r="O884" s="35"/>
      <c r="P884" s="35"/>
      <c r="Q884" s="35"/>
      <c r="R884" s="14"/>
      <c r="S884" s="14"/>
      <c r="T884" s="35"/>
      <c r="U884" s="35"/>
      <c r="V884" s="60" t="s">
        <v>1681</v>
      </c>
    </row>
    <row r="885" spans="1:22" ht="38.25" x14ac:dyDescent="0.2">
      <c r="A885" s="1" t="s">
        <v>37</v>
      </c>
      <c r="B885" s="2" t="s">
        <v>38</v>
      </c>
      <c r="C885" s="2" t="s">
        <v>39</v>
      </c>
      <c r="D885" s="2" t="s">
        <v>40</v>
      </c>
      <c r="E885" s="2">
        <v>2020</v>
      </c>
      <c r="F885" s="2" t="s">
        <v>291</v>
      </c>
      <c r="G885" s="2" t="s">
        <v>1667</v>
      </c>
      <c r="H885" s="2" t="s">
        <v>1669</v>
      </c>
      <c r="I885" s="1" t="s">
        <v>14</v>
      </c>
      <c r="J885" s="1" t="s">
        <v>1186</v>
      </c>
      <c r="L885" s="34" t="s">
        <v>1670</v>
      </c>
      <c r="M885" s="35"/>
      <c r="N885" s="35">
        <v>668.97</v>
      </c>
      <c r="O885" s="35"/>
      <c r="P885" s="35"/>
      <c r="Q885" s="35"/>
      <c r="R885" s="14"/>
      <c r="S885" s="14"/>
      <c r="T885" s="35"/>
      <c r="U885" s="35"/>
      <c r="V885" s="60" t="s">
        <v>1681</v>
      </c>
    </row>
    <row r="886" spans="1:22" ht="25.5" x14ac:dyDescent="0.2">
      <c r="A886" s="1" t="s">
        <v>37</v>
      </c>
      <c r="B886" s="2" t="s">
        <v>38</v>
      </c>
      <c r="C886" s="2" t="s">
        <v>39</v>
      </c>
      <c r="D886" s="2" t="s">
        <v>40</v>
      </c>
      <c r="E886" s="2">
        <v>2020</v>
      </c>
      <c r="F886" s="2" t="s">
        <v>311</v>
      </c>
      <c r="G886" s="2" t="s">
        <v>1667</v>
      </c>
      <c r="H886" s="2" t="s">
        <v>1669</v>
      </c>
      <c r="I886" s="1" t="s">
        <v>14</v>
      </c>
      <c r="J886" s="1" t="s">
        <v>1263</v>
      </c>
      <c r="L886" s="34" t="s">
        <v>1670</v>
      </c>
      <c r="M886" s="35"/>
      <c r="N886" s="35">
        <v>793</v>
      </c>
      <c r="O886" s="35"/>
      <c r="P886" s="35"/>
      <c r="Q886" s="35"/>
      <c r="R886" s="14"/>
      <c r="S886" s="14"/>
      <c r="T886" s="35"/>
      <c r="U886" s="35"/>
    </row>
    <row r="887" spans="1:22" ht="25.5" x14ac:dyDescent="0.2">
      <c r="A887" s="1" t="s">
        <v>37</v>
      </c>
      <c r="B887" s="2" t="s">
        <v>38</v>
      </c>
      <c r="C887" s="2" t="s">
        <v>39</v>
      </c>
      <c r="D887" s="2" t="s">
        <v>40</v>
      </c>
      <c r="E887" s="2">
        <v>2020</v>
      </c>
      <c r="F887" s="2" t="s">
        <v>337</v>
      </c>
      <c r="G887" s="2" t="s">
        <v>1667</v>
      </c>
      <c r="H887" s="2" t="s">
        <v>1669</v>
      </c>
      <c r="I887" s="1" t="s">
        <v>14</v>
      </c>
      <c r="J887" s="1" t="s">
        <v>1403</v>
      </c>
      <c r="L887" s="34" t="s">
        <v>1670</v>
      </c>
      <c r="M887" s="35"/>
      <c r="N887" s="35">
        <v>661</v>
      </c>
      <c r="O887" s="35"/>
      <c r="P887" s="35"/>
      <c r="Q887" s="35"/>
      <c r="R887" s="14"/>
      <c r="S887" s="14"/>
      <c r="T887" s="35"/>
      <c r="U887" s="35"/>
    </row>
    <row r="888" spans="1:22" ht="38.25" x14ac:dyDescent="0.2">
      <c r="A888" s="1" t="s">
        <v>37</v>
      </c>
      <c r="B888" s="2" t="s">
        <v>38</v>
      </c>
      <c r="C888" s="2" t="s">
        <v>39</v>
      </c>
      <c r="D888" s="2" t="s">
        <v>40</v>
      </c>
      <c r="E888" s="2">
        <v>2020</v>
      </c>
      <c r="F888" s="2" t="s">
        <v>364</v>
      </c>
      <c r="G888" s="2" t="s">
        <v>1667</v>
      </c>
      <c r="H888" s="2" t="s">
        <v>1669</v>
      </c>
      <c r="I888" s="1" t="s">
        <v>14</v>
      </c>
      <c r="J888" s="1" t="s">
        <v>1479</v>
      </c>
      <c r="L888" s="34" t="s">
        <v>1670</v>
      </c>
      <c r="M888" s="35"/>
      <c r="N888" s="35">
        <v>805</v>
      </c>
      <c r="O888" s="35"/>
      <c r="P888" s="35"/>
      <c r="Q888" s="35"/>
      <c r="R888" s="14"/>
      <c r="S888" s="14"/>
      <c r="T888" s="35"/>
      <c r="U888" s="35"/>
      <c r="V888" s="60" t="s">
        <v>1681</v>
      </c>
    </row>
    <row r="889" spans="1:22" ht="43.5" customHeight="1" x14ac:dyDescent="0.2">
      <c r="A889" s="1" t="s">
        <v>37</v>
      </c>
      <c r="B889" s="2" t="s">
        <v>38</v>
      </c>
      <c r="C889" s="2" t="s">
        <v>39</v>
      </c>
      <c r="D889" s="2" t="s">
        <v>40</v>
      </c>
      <c r="E889" s="2">
        <v>2020</v>
      </c>
      <c r="F889" s="2" t="s">
        <v>388</v>
      </c>
      <c r="G889" s="2" t="s">
        <v>1667</v>
      </c>
      <c r="H889" s="2" t="s">
        <v>1669</v>
      </c>
      <c r="I889" s="1" t="s">
        <v>14</v>
      </c>
      <c r="J889" s="1" t="s">
        <v>1605</v>
      </c>
      <c r="L889" s="34" t="s">
        <v>1670</v>
      </c>
      <c r="M889" s="35"/>
      <c r="N889" s="35">
        <v>729.8</v>
      </c>
      <c r="O889" s="35"/>
      <c r="P889" s="35"/>
      <c r="Q889" s="35"/>
      <c r="R889" s="35"/>
      <c r="S889" s="35"/>
      <c r="T889" s="35"/>
      <c r="U889" s="35"/>
      <c r="V889" s="60" t="s">
        <v>1681</v>
      </c>
    </row>
    <row r="890" spans="1:22" ht="38.25" x14ac:dyDescent="0.2">
      <c r="A890" s="1" t="s">
        <v>241</v>
      </c>
      <c r="B890" s="2" t="s">
        <v>38</v>
      </c>
      <c r="C890" s="2" t="s">
        <v>242</v>
      </c>
      <c r="D890" s="2" t="s">
        <v>243</v>
      </c>
      <c r="E890" s="2">
        <v>2020</v>
      </c>
      <c r="F890" s="2" t="s">
        <v>221</v>
      </c>
      <c r="G890" s="2" t="s">
        <v>1667</v>
      </c>
      <c r="H890" s="2" t="s">
        <v>1669</v>
      </c>
      <c r="I890" s="1" t="s">
        <v>14</v>
      </c>
      <c r="J890" s="1" t="s">
        <v>781</v>
      </c>
      <c r="L890" s="5">
        <v>0.27</v>
      </c>
      <c r="M890" s="35"/>
      <c r="N890" s="35">
        <f>180*0.8</f>
        <v>144</v>
      </c>
      <c r="O890" s="35"/>
      <c r="P890" s="35"/>
      <c r="Q890" s="35"/>
      <c r="R890" s="6"/>
      <c r="S890" s="35"/>
      <c r="T890" s="35"/>
      <c r="U890" s="35"/>
      <c r="V890" s="60" t="s">
        <v>1680</v>
      </c>
    </row>
    <row r="891" spans="1:22" ht="25.5" x14ac:dyDescent="0.2">
      <c r="A891" s="1" t="s">
        <v>241</v>
      </c>
      <c r="B891" s="2" t="s">
        <v>38</v>
      </c>
      <c r="C891" s="2" t="s">
        <v>242</v>
      </c>
      <c r="D891" s="2" t="s">
        <v>243</v>
      </c>
      <c r="E891" s="2">
        <v>2020</v>
      </c>
      <c r="F891" s="2" t="s">
        <v>364</v>
      </c>
      <c r="G891" s="2" t="s">
        <v>1667</v>
      </c>
      <c r="H891" s="2" t="s">
        <v>1669</v>
      </c>
      <c r="I891" s="1" t="s">
        <v>14</v>
      </c>
      <c r="J891" s="1" t="s">
        <v>1575</v>
      </c>
      <c r="L891" s="34" t="s">
        <v>1670</v>
      </c>
      <c r="M891" s="35"/>
      <c r="N891" s="35"/>
      <c r="O891" s="35"/>
      <c r="P891" s="35"/>
      <c r="Q891" s="35"/>
      <c r="R891" s="14"/>
      <c r="S891" s="14"/>
      <c r="T891" s="35"/>
      <c r="U891" s="35"/>
      <c r="V891" s="60" t="s">
        <v>1683</v>
      </c>
    </row>
    <row r="892" spans="1:22" ht="38.25" x14ac:dyDescent="0.2">
      <c r="A892" s="1" t="s">
        <v>153</v>
      </c>
      <c r="B892" s="2" t="s">
        <v>24</v>
      </c>
      <c r="C892" s="2" t="s">
        <v>154</v>
      </c>
      <c r="D892" s="2" t="s">
        <v>155</v>
      </c>
      <c r="E892" s="2">
        <v>2020</v>
      </c>
      <c r="F892" s="2" t="s">
        <v>13</v>
      </c>
      <c r="G892" s="2" t="s">
        <v>1667</v>
      </c>
      <c r="H892" s="2" t="s">
        <v>1669</v>
      </c>
      <c r="I892" s="1" t="s">
        <v>14</v>
      </c>
      <c r="J892" s="1" t="s">
        <v>494</v>
      </c>
      <c r="L892" s="5">
        <v>0.43</v>
      </c>
      <c r="M892" s="35"/>
      <c r="N892" s="35">
        <v>1190.2</v>
      </c>
      <c r="O892" s="35"/>
      <c r="P892" s="35"/>
      <c r="Q892" s="35"/>
      <c r="R892" s="35"/>
      <c r="S892" s="35"/>
      <c r="T892" s="35"/>
      <c r="U892" s="35"/>
      <c r="V892" s="60" t="s">
        <v>1681</v>
      </c>
    </row>
    <row r="893" spans="1:22" ht="38.25" x14ac:dyDescent="0.2">
      <c r="A893" s="1" t="s">
        <v>153</v>
      </c>
      <c r="B893" s="2" t="s">
        <v>24</v>
      </c>
      <c r="C893" s="2" t="s">
        <v>154</v>
      </c>
      <c r="D893" s="2" t="s">
        <v>155</v>
      </c>
      <c r="E893" s="2">
        <v>2020</v>
      </c>
      <c r="F893" s="2" t="s">
        <v>188</v>
      </c>
      <c r="G893" s="2" t="s">
        <v>1667</v>
      </c>
      <c r="H893" s="2" t="s">
        <v>1669</v>
      </c>
      <c r="I893" s="1" t="s">
        <v>14</v>
      </c>
      <c r="J893" s="1" t="s">
        <v>601</v>
      </c>
      <c r="L893" s="34">
        <v>0.41</v>
      </c>
      <c r="M893" s="35"/>
      <c r="N893" s="35">
        <v>1231.0999999999999</v>
      </c>
      <c r="O893" s="35"/>
      <c r="P893" s="35"/>
      <c r="Q893" s="35"/>
      <c r="R893" s="14"/>
      <c r="S893" s="35"/>
      <c r="T893" s="35"/>
      <c r="U893" s="35"/>
      <c r="V893" s="60" t="s">
        <v>1681</v>
      </c>
    </row>
    <row r="894" spans="1:22" ht="38.25" x14ac:dyDescent="0.2">
      <c r="A894" s="1" t="s">
        <v>153</v>
      </c>
      <c r="B894" s="2" t="s">
        <v>24</v>
      </c>
      <c r="C894" s="2" t="s">
        <v>154</v>
      </c>
      <c r="D894" s="2" t="s">
        <v>155</v>
      </c>
      <c r="E894" s="2">
        <v>2020</v>
      </c>
      <c r="F894" s="2" t="s">
        <v>203</v>
      </c>
      <c r="G894" s="2" t="s">
        <v>1667</v>
      </c>
      <c r="H894" s="2" t="s">
        <v>1669</v>
      </c>
      <c r="I894" s="1" t="s">
        <v>14</v>
      </c>
      <c r="J894" s="1" t="s">
        <v>653</v>
      </c>
      <c r="L894" s="34">
        <v>0.43</v>
      </c>
      <c r="M894" s="35"/>
      <c r="N894" s="35">
        <v>1248.2</v>
      </c>
      <c r="O894" s="35"/>
      <c r="P894" s="35"/>
      <c r="Q894" s="35"/>
      <c r="R894" s="14"/>
      <c r="S894" s="35"/>
      <c r="T894" s="35"/>
      <c r="U894" s="35"/>
      <c r="V894" s="60" t="s">
        <v>1681</v>
      </c>
    </row>
    <row r="895" spans="1:22" ht="38.25" x14ac:dyDescent="0.2">
      <c r="A895" s="1" t="s">
        <v>153</v>
      </c>
      <c r="B895" s="2" t="s">
        <v>24</v>
      </c>
      <c r="C895" s="2" t="s">
        <v>154</v>
      </c>
      <c r="D895" s="2" t="s">
        <v>155</v>
      </c>
      <c r="E895" s="2">
        <v>2020</v>
      </c>
      <c r="F895" s="2" t="s">
        <v>211</v>
      </c>
      <c r="G895" s="2" t="s">
        <v>1667</v>
      </c>
      <c r="H895" s="2" t="s">
        <v>1669</v>
      </c>
      <c r="I895" s="1" t="s">
        <v>14</v>
      </c>
      <c r="J895" s="1" t="s">
        <v>758</v>
      </c>
      <c r="L895" s="34">
        <v>0.4</v>
      </c>
      <c r="M895" s="35"/>
      <c r="N895" s="35">
        <v>1075.4000000000001</v>
      </c>
      <c r="O895" s="35"/>
      <c r="P895" s="35"/>
      <c r="Q895" s="35"/>
      <c r="R895" s="14"/>
      <c r="S895" s="35"/>
      <c r="T895" s="35"/>
      <c r="U895" s="35"/>
      <c r="V895" s="60" t="s">
        <v>1681</v>
      </c>
    </row>
    <row r="896" spans="1:22" ht="38.25" x14ac:dyDescent="0.2">
      <c r="A896" s="1" t="s">
        <v>153</v>
      </c>
      <c r="B896" s="2" t="s">
        <v>24</v>
      </c>
      <c r="C896" s="2" t="s">
        <v>154</v>
      </c>
      <c r="D896" s="2" t="s">
        <v>155</v>
      </c>
      <c r="E896" s="2">
        <v>2020</v>
      </c>
      <c r="F896" s="2" t="s">
        <v>221</v>
      </c>
      <c r="G896" s="2" t="s">
        <v>1667</v>
      </c>
      <c r="H896" s="2" t="s">
        <v>1669</v>
      </c>
      <c r="I896" s="1" t="s">
        <v>14</v>
      </c>
      <c r="J896" s="1" t="s">
        <v>819</v>
      </c>
      <c r="L896" s="34">
        <v>0.4</v>
      </c>
      <c r="M896" s="35"/>
      <c r="N896" s="35">
        <v>1410.9</v>
      </c>
      <c r="O896" s="35"/>
      <c r="P896" s="35"/>
      <c r="Q896" s="35"/>
      <c r="R896" s="14"/>
      <c r="S896" s="14"/>
      <c r="T896" s="35"/>
      <c r="U896" s="35"/>
      <c r="V896" s="60" t="s">
        <v>1681</v>
      </c>
    </row>
    <row r="897" spans="1:22" ht="38.25" x14ac:dyDescent="0.2">
      <c r="A897" s="1" t="s">
        <v>153</v>
      </c>
      <c r="B897" s="2" t="s">
        <v>24</v>
      </c>
      <c r="C897" s="2" t="s">
        <v>154</v>
      </c>
      <c r="D897" s="2" t="s">
        <v>155</v>
      </c>
      <c r="E897" s="2">
        <v>2020</v>
      </c>
      <c r="F897" s="2" t="s">
        <v>256</v>
      </c>
      <c r="G897" s="2" t="s">
        <v>1667</v>
      </c>
      <c r="H897" s="2" t="s">
        <v>1669</v>
      </c>
      <c r="I897" s="1" t="s">
        <v>14</v>
      </c>
      <c r="J897" s="1" t="s">
        <v>886</v>
      </c>
      <c r="L897" s="34">
        <v>0.42</v>
      </c>
      <c r="M897" s="35"/>
      <c r="N897" s="35">
        <v>1356.8</v>
      </c>
      <c r="O897" s="35"/>
      <c r="P897" s="35"/>
      <c r="Q897" s="35"/>
      <c r="R897" s="14"/>
      <c r="S897" s="14"/>
      <c r="T897" s="35"/>
      <c r="U897" s="35"/>
      <c r="V897" s="60" t="s">
        <v>1681</v>
      </c>
    </row>
    <row r="898" spans="1:22" ht="38.25" x14ac:dyDescent="0.2">
      <c r="A898" s="1" t="s">
        <v>153</v>
      </c>
      <c r="B898" s="2" t="s">
        <v>24</v>
      </c>
      <c r="C898" s="2" t="s">
        <v>154</v>
      </c>
      <c r="D898" s="2" t="s">
        <v>155</v>
      </c>
      <c r="E898" s="2">
        <v>2020</v>
      </c>
      <c r="F898" s="2" t="s">
        <v>276</v>
      </c>
      <c r="G898" s="2" t="s">
        <v>1667</v>
      </c>
      <c r="H898" s="2" t="s">
        <v>1669</v>
      </c>
      <c r="I898" s="1" t="s">
        <v>14</v>
      </c>
      <c r="J898" s="1" t="s">
        <v>1059</v>
      </c>
      <c r="L898" s="34">
        <v>0.41</v>
      </c>
      <c r="M898" s="35"/>
      <c r="N898" s="35">
        <v>1218.2</v>
      </c>
      <c r="O898" s="35"/>
      <c r="P898" s="35"/>
      <c r="Q898" s="35"/>
      <c r="R898" s="14"/>
      <c r="S898" s="14"/>
      <c r="T898" s="35"/>
      <c r="U898" s="35"/>
      <c r="V898" s="60" t="s">
        <v>1681</v>
      </c>
    </row>
    <row r="899" spans="1:22" ht="38.25" x14ac:dyDescent="0.2">
      <c r="A899" s="1" t="s">
        <v>153</v>
      </c>
      <c r="B899" s="2" t="s">
        <v>24</v>
      </c>
      <c r="C899" s="2" t="s">
        <v>154</v>
      </c>
      <c r="D899" s="2" t="s">
        <v>155</v>
      </c>
      <c r="E899" s="2">
        <v>2020</v>
      </c>
      <c r="F899" s="2" t="s">
        <v>291</v>
      </c>
      <c r="G899" s="2" t="s">
        <v>1667</v>
      </c>
      <c r="H899" s="2" t="s">
        <v>1669</v>
      </c>
      <c r="I899" s="1" t="s">
        <v>14</v>
      </c>
      <c r="J899" s="1" t="s">
        <v>1154</v>
      </c>
      <c r="L899" s="34">
        <v>0.39</v>
      </c>
      <c r="M899" s="35"/>
      <c r="N899" s="35">
        <v>1260.7</v>
      </c>
      <c r="O899" s="35"/>
      <c r="P899" s="35"/>
      <c r="Q899" s="35"/>
      <c r="R899" s="14"/>
      <c r="S899" s="14"/>
      <c r="T899" s="35"/>
      <c r="U899" s="35"/>
      <c r="V899" s="60" t="s">
        <v>1681</v>
      </c>
    </row>
    <row r="900" spans="1:22" ht="38.25" x14ac:dyDescent="0.2">
      <c r="A900" s="1" t="s">
        <v>153</v>
      </c>
      <c r="B900" s="2" t="s">
        <v>24</v>
      </c>
      <c r="C900" s="2" t="s">
        <v>154</v>
      </c>
      <c r="D900" s="2" t="s">
        <v>155</v>
      </c>
      <c r="E900" s="2">
        <v>2020</v>
      </c>
      <c r="F900" s="2" t="s">
        <v>311</v>
      </c>
      <c r="G900" s="2" t="s">
        <v>1667</v>
      </c>
      <c r="H900" s="2" t="s">
        <v>1669</v>
      </c>
      <c r="I900" s="1" t="s">
        <v>14</v>
      </c>
      <c r="J900" s="1" t="s">
        <v>1255</v>
      </c>
      <c r="L900" s="34">
        <v>0.379</v>
      </c>
      <c r="M900" s="35"/>
      <c r="N900" s="35">
        <v>1299.2</v>
      </c>
      <c r="O900" s="35"/>
      <c r="P900" s="35"/>
      <c r="Q900" s="35"/>
      <c r="R900" s="14"/>
      <c r="S900" s="14"/>
      <c r="T900" s="35"/>
      <c r="U900" s="35"/>
      <c r="V900" s="60" t="s">
        <v>1681</v>
      </c>
    </row>
    <row r="901" spans="1:22" ht="38.25" x14ac:dyDescent="0.2">
      <c r="A901" s="1" t="s">
        <v>153</v>
      </c>
      <c r="B901" s="2" t="s">
        <v>24</v>
      </c>
      <c r="C901" s="2" t="s">
        <v>154</v>
      </c>
      <c r="D901" s="2" t="s">
        <v>155</v>
      </c>
      <c r="E901" s="2">
        <v>2020</v>
      </c>
      <c r="F901" s="2" t="s">
        <v>337</v>
      </c>
      <c r="G901" s="2" t="s">
        <v>1667</v>
      </c>
      <c r="H901" s="2" t="s">
        <v>1669</v>
      </c>
      <c r="I901" s="1" t="s">
        <v>14</v>
      </c>
      <c r="J901" s="1" t="s">
        <v>1459</v>
      </c>
      <c r="L901" s="34">
        <v>0.41499999999999998</v>
      </c>
      <c r="M901" s="35"/>
      <c r="N901" s="35">
        <v>1280</v>
      </c>
      <c r="O901" s="35"/>
      <c r="P901" s="35"/>
      <c r="Q901" s="35"/>
      <c r="R901" s="14"/>
      <c r="S901" s="14"/>
      <c r="T901" s="35"/>
      <c r="U901" s="35"/>
      <c r="V901" s="60" t="s">
        <v>1681</v>
      </c>
    </row>
    <row r="902" spans="1:22" ht="38.25" x14ac:dyDescent="0.2">
      <c r="A902" s="1" t="s">
        <v>153</v>
      </c>
      <c r="B902" s="2" t="s">
        <v>24</v>
      </c>
      <c r="C902" s="2" t="s">
        <v>154</v>
      </c>
      <c r="D902" s="2" t="s">
        <v>155</v>
      </c>
      <c r="E902" s="2">
        <v>2020</v>
      </c>
      <c r="F902" s="2" t="s">
        <v>364</v>
      </c>
      <c r="G902" s="2" t="s">
        <v>1667</v>
      </c>
      <c r="H902" s="2" t="s">
        <v>1669</v>
      </c>
      <c r="I902" s="1" t="s">
        <v>14</v>
      </c>
      <c r="J902" s="1" t="s">
        <v>1484</v>
      </c>
      <c r="L902" s="34">
        <v>0.41499999999999998</v>
      </c>
      <c r="M902" s="35"/>
      <c r="N902" s="35">
        <v>1346.8</v>
      </c>
      <c r="O902" s="35"/>
      <c r="P902" s="35"/>
      <c r="Q902" s="35"/>
      <c r="R902" s="14"/>
      <c r="S902" s="14"/>
      <c r="T902" s="35"/>
      <c r="U902" s="35"/>
      <c r="V902" s="60" t="s">
        <v>1681</v>
      </c>
    </row>
    <row r="903" spans="1:22" ht="38.25" x14ac:dyDescent="0.2">
      <c r="A903" s="1" t="s">
        <v>153</v>
      </c>
      <c r="B903" s="2" t="s">
        <v>24</v>
      </c>
      <c r="C903" s="2" t="s">
        <v>154</v>
      </c>
      <c r="D903" s="2" t="s">
        <v>155</v>
      </c>
      <c r="E903" s="2">
        <v>2020</v>
      </c>
      <c r="F903" s="2" t="s">
        <v>388</v>
      </c>
      <c r="G903" s="2" t="s">
        <v>1667</v>
      </c>
      <c r="H903" s="2" t="s">
        <v>1669</v>
      </c>
      <c r="I903" s="1" t="s">
        <v>14</v>
      </c>
      <c r="J903" s="1" t="s">
        <v>1647</v>
      </c>
      <c r="L903" s="34">
        <v>0.41599999999999998</v>
      </c>
      <c r="M903" s="35"/>
      <c r="N903" s="35">
        <v>1226</v>
      </c>
      <c r="O903" s="35"/>
      <c r="P903" s="35"/>
      <c r="Q903" s="35"/>
      <c r="R903" s="35"/>
      <c r="S903" s="35"/>
      <c r="T903" s="35"/>
      <c r="U903" s="35"/>
      <c r="V903" s="60" t="s">
        <v>1681</v>
      </c>
    </row>
    <row r="904" spans="1:22" ht="38.25" x14ac:dyDescent="0.2">
      <c r="A904" s="1" t="s">
        <v>159</v>
      </c>
      <c r="B904" s="2" t="s">
        <v>38</v>
      </c>
      <c r="C904" s="2" t="s">
        <v>154</v>
      </c>
      <c r="D904" s="2" t="s">
        <v>155</v>
      </c>
      <c r="E904" s="2">
        <v>2020</v>
      </c>
      <c r="F904" s="2" t="s">
        <v>13</v>
      </c>
      <c r="G904" s="2" t="s">
        <v>1667</v>
      </c>
      <c r="H904" s="2" t="s">
        <v>1669</v>
      </c>
      <c r="I904" s="1" t="s">
        <v>14</v>
      </c>
      <c r="J904" s="1" t="s">
        <v>547</v>
      </c>
      <c r="L904" s="34"/>
      <c r="M904" s="35"/>
      <c r="N904" s="35"/>
      <c r="O904" s="35"/>
      <c r="P904" s="35"/>
      <c r="Q904" s="35"/>
      <c r="R904" s="35"/>
      <c r="S904" s="35"/>
      <c r="T904" s="35"/>
      <c r="U904" s="35"/>
      <c r="V904" s="60" t="s">
        <v>1718</v>
      </c>
    </row>
    <row r="905" spans="1:22" ht="38.25" x14ac:dyDescent="0.2">
      <c r="A905" s="1" t="s">
        <v>159</v>
      </c>
      <c r="B905" s="2" t="s">
        <v>38</v>
      </c>
      <c r="C905" s="2" t="s">
        <v>154</v>
      </c>
      <c r="D905" s="2" t="s">
        <v>155</v>
      </c>
      <c r="E905" s="2">
        <v>2020</v>
      </c>
      <c r="F905" s="2" t="s">
        <v>188</v>
      </c>
      <c r="G905" s="2" t="s">
        <v>1667</v>
      </c>
      <c r="H905" s="2" t="s">
        <v>1669</v>
      </c>
      <c r="I905" s="1" t="s">
        <v>14</v>
      </c>
      <c r="J905" s="1" t="s">
        <v>609</v>
      </c>
      <c r="L905" s="34"/>
      <c r="M905" s="35"/>
      <c r="N905" s="35"/>
      <c r="O905" s="35"/>
      <c r="P905" s="35"/>
      <c r="Q905" s="35"/>
      <c r="R905" s="14"/>
      <c r="S905" s="35"/>
      <c r="T905" s="35"/>
      <c r="U905" s="35"/>
      <c r="V905" s="60" t="s">
        <v>1718</v>
      </c>
    </row>
    <row r="906" spans="1:22" ht="38.25" x14ac:dyDescent="0.2">
      <c r="A906" s="1" t="s">
        <v>159</v>
      </c>
      <c r="B906" s="2" t="s">
        <v>38</v>
      </c>
      <c r="C906" s="2" t="s">
        <v>154</v>
      </c>
      <c r="D906" s="2" t="s">
        <v>155</v>
      </c>
      <c r="E906" s="2">
        <v>2020</v>
      </c>
      <c r="F906" s="2" t="s">
        <v>203</v>
      </c>
      <c r="G906" s="2" t="s">
        <v>1667</v>
      </c>
      <c r="H906" s="2" t="s">
        <v>1669</v>
      </c>
      <c r="I906" s="1" t="s">
        <v>14</v>
      </c>
      <c r="J906" s="1" t="s">
        <v>639</v>
      </c>
      <c r="L906" s="34"/>
      <c r="M906" s="35"/>
      <c r="N906" s="35"/>
      <c r="O906" s="35"/>
      <c r="P906" s="35"/>
      <c r="Q906" s="35"/>
      <c r="R906" s="14"/>
      <c r="S906" s="35"/>
      <c r="T906" s="35"/>
      <c r="U906" s="35"/>
      <c r="V906" s="60" t="s">
        <v>1718</v>
      </c>
    </row>
    <row r="907" spans="1:22" ht="38.25" x14ac:dyDescent="0.2">
      <c r="A907" s="1" t="s">
        <v>159</v>
      </c>
      <c r="B907" s="2" t="s">
        <v>38</v>
      </c>
      <c r="C907" s="2" t="s">
        <v>154</v>
      </c>
      <c r="D907" s="2" t="s">
        <v>155</v>
      </c>
      <c r="E907" s="2">
        <v>2020</v>
      </c>
      <c r="F907" s="2" t="s">
        <v>211</v>
      </c>
      <c r="G907" s="2" t="s">
        <v>1667</v>
      </c>
      <c r="H907" s="2" t="s">
        <v>1669</v>
      </c>
      <c r="I907" s="1" t="s">
        <v>14</v>
      </c>
      <c r="J907" s="1" t="s">
        <v>693</v>
      </c>
      <c r="L907" s="34"/>
      <c r="M907" s="35"/>
      <c r="N907" s="35"/>
      <c r="O907" s="35"/>
      <c r="P907" s="35"/>
      <c r="Q907" s="35"/>
      <c r="R907" s="14"/>
      <c r="S907" s="35"/>
      <c r="T907" s="35"/>
      <c r="U907" s="35"/>
      <c r="V907" s="60" t="s">
        <v>1718</v>
      </c>
    </row>
    <row r="908" spans="1:22" ht="38.25" x14ac:dyDescent="0.2">
      <c r="A908" s="1" t="s">
        <v>159</v>
      </c>
      <c r="B908" s="2" t="s">
        <v>38</v>
      </c>
      <c r="C908" s="2" t="s">
        <v>154</v>
      </c>
      <c r="D908" s="2" t="s">
        <v>155</v>
      </c>
      <c r="E908" s="2">
        <v>2020</v>
      </c>
      <c r="F908" s="2" t="s">
        <v>221</v>
      </c>
      <c r="G908" s="2" t="s">
        <v>1667</v>
      </c>
      <c r="H908" s="2" t="s">
        <v>1669</v>
      </c>
      <c r="I908" s="1" t="s">
        <v>14</v>
      </c>
      <c r="J908" s="1" t="s">
        <v>863</v>
      </c>
      <c r="L908" s="34"/>
      <c r="M908" s="35"/>
      <c r="N908" s="35"/>
      <c r="O908" s="35"/>
      <c r="P908" s="35"/>
      <c r="Q908" s="35"/>
      <c r="R908" s="14"/>
      <c r="S908" s="14"/>
      <c r="T908" s="35"/>
      <c r="U908" s="35"/>
      <c r="V908" s="60" t="s">
        <v>1718</v>
      </c>
    </row>
    <row r="909" spans="1:22" ht="38.25" x14ac:dyDescent="0.2">
      <c r="A909" s="1" t="s">
        <v>159</v>
      </c>
      <c r="B909" s="2" t="s">
        <v>38</v>
      </c>
      <c r="C909" s="2" t="s">
        <v>154</v>
      </c>
      <c r="D909" s="2" t="s">
        <v>155</v>
      </c>
      <c r="E909" s="2">
        <v>2020</v>
      </c>
      <c r="F909" s="2" t="s">
        <v>256</v>
      </c>
      <c r="G909" s="2" t="s">
        <v>1667</v>
      </c>
      <c r="H909" s="2" t="s">
        <v>1669</v>
      </c>
      <c r="I909" s="1" t="s">
        <v>14</v>
      </c>
      <c r="J909" s="1" t="s">
        <v>887</v>
      </c>
      <c r="L909" s="34"/>
      <c r="M909" s="35"/>
      <c r="N909" s="35"/>
      <c r="O909" s="35"/>
      <c r="P909" s="35"/>
      <c r="Q909" s="35"/>
      <c r="R909" s="14"/>
      <c r="S909" s="14"/>
      <c r="T909" s="35"/>
      <c r="U909" s="35"/>
      <c r="V909" s="60" t="s">
        <v>1718</v>
      </c>
    </row>
    <row r="910" spans="1:22" ht="38.25" x14ac:dyDescent="0.2">
      <c r="A910" s="1" t="s">
        <v>159</v>
      </c>
      <c r="B910" s="2" t="s">
        <v>38</v>
      </c>
      <c r="C910" s="2" t="s">
        <v>154</v>
      </c>
      <c r="D910" s="2" t="s">
        <v>155</v>
      </c>
      <c r="E910" s="2">
        <v>2020</v>
      </c>
      <c r="F910" s="2" t="s">
        <v>276</v>
      </c>
      <c r="G910" s="2" t="s">
        <v>1667</v>
      </c>
      <c r="H910" s="2" t="s">
        <v>1669</v>
      </c>
      <c r="I910" s="1" t="s">
        <v>14</v>
      </c>
      <c r="J910" s="1" t="s">
        <v>1005</v>
      </c>
      <c r="L910" s="34"/>
      <c r="M910" s="35"/>
      <c r="N910" s="35"/>
      <c r="O910" s="35"/>
      <c r="P910" s="35"/>
      <c r="Q910" s="35"/>
      <c r="R910" s="14"/>
      <c r="S910" s="14"/>
      <c r="T910" s="35"/>
      <c r="U910" s="35"/>
      <c r="V910" s="60" t="s">
        <v>1718</v>
      </c>
    </row>
    <row r="911" spans="1:22" ht="38.25" x14ac:dyDescent="0.2">
      <c r="A911" s="1" t="s">
        <v>159</v>
      </c>
      <c r="B911" s="2" t="s">
        <v>38</v>
      </c>
      <c r="C911" s="2" t="s">
        <v>154</v>
      </c>
      <c r="D911" s="2" t="s">
        <v>155</v>
      </c>
      <c r="E911" s="2">
        <v>2020</v>
      </c>
      <c r="F911" s="2" t="s">
        <v>291</v>
      </c>
      <c r="G911" s="2" t="s">
        <v>1667</v>
      </c>
      <c r="H911" s="2" t="s">
        <v>1669</v>
      </c>
      <c r="I911" s="1" t="s">
        <v>14</v>
      </c>
      <c r="J911" s="1" t="s">
        <v>1146</v>
      </c>
      <c r="L911" s="34"/>
      <c r="M911" s="35"/>
      <c r="N911" s="35"/>
      <c r="O911" s="35"/>
      <c r="P911" s="35"/>
      <c r="Q911" s="35"/>
      <c r="R911" s="14"/>
      <c r="S911" s="14"/>
      <c r="T911" s="35"/>
      <c r="U911" s="35"/>
      <c r="V911" s="60" t="s">
        <v>1718</v>
      </c>
    </row>
    <row r="912" spans="1:22" ht="38.25" x14ac:dyDescent="0.2">
      <c r="A912" s="1" t="s">
        <v>159</v>
      </c>
      <c r="B912" s="2" t="s">
        <v>38</v>
      </c>
      <c r="C912" s="2" t="s">
        <v>154</v>
      </c>
      <c r="D912" s="2" t="s">
        <v>155</v>
      </c>
      <c r="E912" s="2">
        <v>2020</v>
      </c>
      <c r="F912" s="2" t="s">
        <v>311</v>
      </c>
      <c r="G912" s="2" t="s">
        <v>1667</v>
      </c>
      <c r="H912" s="2" t="s">
        <v>1669</v>
      </c>
      <c r="I912" s="1" t="s">
        <v>14</v>
      </c>
      <c r="J912" s="1" t="s">
        <v>1235</v>
      </c>
      <c r="L912" s="34"/>
      <c r="M912" s="35"/>
      <c r="N912" s="35"/>
      <c r="O912" s="35"/>
      <c r="P912" s="35"/>
      <c r="Q912" s="35"/>
      <c r="R912" s="14"/>
      <c r="S912" s="14"/>
      <c r="T912" s="35"/>
      <c r="U912" s="35"/>
      <c r="V912" s="60" t="s">
        <v>1718</v>
      </c>
    </row>
    <row r="913" spans="1:22" ht="38.25" x14ac:dyDescent="0.2">
      <c r="A913" s="1" t="s">
        <v>159</v>
      </c>
      <c r="B913" s="2" t="s">
        <v>38</v>
      </c>
      <c r="C913" s="2" t="s">
        <v>154</v>
      </c>
      <c r="D913" s="2" t="s">
        <v>155</v>
      </c>
      <c r="E913" s="2">
        <v>2020</v>
      </c>
      <c r="F913" s="2" t="s">
        <v>337</v>
      </c>
      <c r="G913" s="2" t="s">
        <v>1667</v>
      </c>
      <c r="H913" s="2" t="s">
        <v>1669</v>
      </c>
      <c r="I913" s="1" t="s">
        <v>14</v>
      </c>
      <c r="J913" s="1" t="s">
        <v>1396</v>
      </c>
      <c r="L913" s="34"/>
      <c r="M913" s="35"/>
      <c r="N913" s="35"/>
      <c r="O913" s="35"/>
      <c r="P913" s="35"/>
      <c r="Q913" s="35"/>
      <c r="R913" s="14"/>
      <c r="S913" s="14"/>
      <c r="T913" s="35"/>
      <c r="U913" s="35"/>
      <c r="V913" s="60" t="s">
        <v>1718</v>
      </c>
    </row>
    <row r="914" spans="1:22" ht="38.25" x14ac:dyDescent="0.2">
      <c r="A914" s="1" t="s">
        <v>159</v>
      </c>
      <c r="B914" s="2" t="s">
        <v>38</v>
      </c>
      <c r="C914" s="2" t="s">
        <v>154</v>
      </c>
      <c r="D914" s="2" t="s">
        <v>155</v>
      </c>
      <c r="E914" s="2">
        <v>2020</v>
      </c>
      <c r="F914" s="2" t="s">
        <v>364</v>
      </c>
      <c r="G914" s="2" t="s">
        <v>1667</v>
      </c>
      <c r="H914" s="2" t="s">
        <v>1669</v>
      </c>
      <c r="I914" s="1" t="s">
        <v>14</v>
      </c>
      <c r="J914" s="1" t="s">
        <v>1586</v>
      </c>
      <c r="L914" s="34"/>
      <c r="M914" s="35"/>
      <c r="N914" s="35"/>
      <c r="O914" s="35"/>
      <c r="P914" s="35"/>
      <c r="Q914" s="35"/>
      <c r="R914" s="14"/>
      <c r="S914" s="14"/>
      <c r="T914" s="35"/>
      <c r="U914" s="35"/>
      <c r="V914" s="60" t="s">
        <v>1718</v>
      </c>
    </row>
    <row r="915" spans="1:22" ht="38.25" x14ac:dyDescent="0.2">
      <c r="A915" s="1" t="s">
        <v>159</v>
      </c>
      <c r="B915" s="2" t="s">
        <v>38</v>
      </c>
      <c r="C915" s="2" t="s">
        <v>154</v>
      </c>
      <c r="D915" s="2" t="s">
        <v>155</v>
      </c>
      <c r="E915" s="2">
        <v>2020</v>
      </c>
      <c r="F915" s="2" t="s">
        <v>388</v>
      </c>
      <c r="G915" s="2" t="s">
        <v>1667</v>
      </c>
      <c r="H915" s="2" t="s">
        <v>1669</v>
      </c>
      <c r="I915" s="1" t="s">
        <v>14</v>
      </c>
      <c r="J915" s="1" t="s">
        <v>1663</v>
      </c>
      <c r="L915" s="34"/>
      <c r="M915" s="35"/>
      <c r="N915" s="35"/>
      <c r="O915" s="35"/>
      <c r="P915" s="35"/>
      <c r="Q915" s="35"/>
      <c r="R915" s="35"/>
      <c r="S915" s="35"/>
      <c r="T915" s="35"/>
      <c r="U915" s="35"/>
      <c r="V915" s="60" t="s">
        <v>1718</v>
      </c>
    </row>
    <row r="916" spans="1:22" ht="63.75" x14ac:dyDescent="0.2">
      <c r="A916" s="1" t="s">
        <v>1425</v>
      </c>
      <c r="B916" s="2" t="s">
        <v>196</v>
      </c>
      <c r="C916" s="2" t="s">
        <v>154</v>
      </c>
      <c r="D916" s="2" t="s">
        <v>155</v>
      </c>
      <c r="E916" s="2">
        <v>2020</v>
      </c>
      <c r="F916" s="2" t="s">
        <v>337</v>
      </c>
      <c r="G916" s="2" t="s">
        <v>1669</v>
      </c>
      <c r="H916" s="2" t="s">
        <v>1669</v>
      </c>
      <c r="I916" s="1" t="s">
        <v>1426</v>
      </c>
      <c r="J916" s="1" t="s">
        <v>1427</v>
      </c>
      <c r="L916" s="34">
        <v>0.22500000000000001</v>
      </c>
      <c r="M916" s="35"/>
      <c r="N916" s="35">
        <v>1292</v>
      </c>
      <c r="O916" s="35"/>
      <c r="P916" s="35"/>
      <c r="Q916" s="35"/>
      <c r="R916" s="14"/>
      <c r="S916" s="14"/>
      <c r="T916" s="35"/>
      <c r="U916" s="35"/>
    </row>
    <row r="917" spans="1:22" ht="25.5" x14ac:dyDescent="0.2">
      <c r="A917" s="1" t="s">
        <v>1425</v>
      </c>
      <c r="B917" s="2" t="s">
        <v>196</v>
      </c>
      <c r="C917" s="2" t="s">
        <v>154</v>
      </c>
      <c r="D917" s="2" t="s">
        <v>155</v>
      </c>
      <c r="E917" s="2">
        <v>2020</v>
      </c>
      <c r="F917" s="2" t="s">
        <v>364</v>
      </c>
      <c r="G917" s="2" t="s">
        <v>1669</v>
      </c>
      <c r="H917" s="2" t="s">
        <v>1669</v>
      </c>
      <c r="I917" s="1" t="s">
        <v>1591</v>
      </c>
      <c r="J917" s="1" t="s">
        <v>1591</v>
      </c>
      <c r="L917" s="34"/>
      <c r="M917" s="35"/>
      <c r="N917" s="35"/>
      <c r="O917" s="35"/>
      <c r="P917" s="35"/>
      <c r="Q917" s="35"/>
      <c r="R917" s="14"/>
      <c r="S917" s="14"/>
      <c r="T917" s="35"/>
      <c r="U917" s="35"/>
    </row>
    <row r="918" spans="1:22" ht="38.25" x14ac:dyDescent="0.2">
      <c r="A918" s="1" t="s">
        <v>212</v>
      </c>
      <c r="B918" s="2" t="s">
        <v>213</v>
      </c>
      <c r="C918" s="2" t="s">
        <v>214</v>
      </c>
      <c r="D918" s="2" t="s">
        <v>121</v>
      </c>
      <c r="E918" s="2">
        <v>2020</v>
      </c>
      <c r="F918" s="2" t="s">
        <v>203</v>
      </c>
      <c r="G918" s="2" t="s">
        <v>1669</v>
      </c>
      <c r="H918" s="2" t="s">
        <v>1669</v>
      </c>
      <c r="I918" s="1" t="s">
        <v>665</v>
      </c>
      <c r="J918" s="1" t="s">
        <v>666</v>
      </c>
      <c r="L918" s="34" t="s">
        <v>1670</v>
      </c>
      <c r="M918" s="35"/>
      <c r="N918" s="35"/>
      <c r="O918" s="35"/>
      <c r="P918" s="35"/>
      <c r="Q918" s="35"/>
      <c r="R918" s="14"/>
      <c r="S918" s="35"/>
      <c r="T918" s="35"/>
      <c r="U918" s="35">
        <v>4.4000000000000004</v>
      </c>
    </row>
    <row r="919" spans="1:22" ht="38.25" x14ac:dyDescent="0.2">
      <c r="A919" s="1" t="s">
        <v>212</v>
      </c>
      <c r="B919" s="2" t="s">
        <v>213</v>
      </c>
      <c r="C919" s="2" t="s">
        <v>214</v>
      </c>
      <c r="D919" s="2" t="s">
        <v>121</v>
      </c>
      <c r="E919" s="2">
        <v>2020</v>
      </c>
      <c r="F919" s="2" t="s">
        <v>256</v>
      </c>
      <c r="G919" s="2" t="s">
        <v>1669</v>
      </c>
      <c r="H919" s="2" t="s">
        <v>1669</v>
      </c>
      <c r="I919" s="1" t="s">
        <v>909</v>
      </c>
      <c r="J919" s="1" t="s">
        <v>910</v>
      </c>
      <c r="L919" s="34" t="s">
        <v>1670</v>
      </c>
      <c r="M919" s="35"/>
      <c r="N919" s="35"/>
      <c r="O919" s="35"/>
      <c r="P919" s="35"/>
      <c r="Q919" s="35"/>
      <c r="R919" s="14"/>
      <c r="S919" s="14"/>
      <c r="T919" s="35"/>
      <c r="U919" s="43">
        <f>4688*0.004546</f>
        <v>21.311647999999998</v>
      </c>
      <c r="V919" s="60" t="s">
        <v>1701</v>
      </c>
    </row>
    <row r="920" spans="1:22" ht="63.75" x14ac:dyDescent="0.2">
      <c r="A920" s="1" t="s">
        <v>832</v>
      </c>
      <c r="B920" s="2" t="s">
        <v>198</v>
      </c>
      <c r="C920" s="2" t="s">
        <v>286</v>
      </c>
      <c r="D920" s="2" t="s">
        <v>173</v>
      </c>
      <c r="E920" s="2">
        <v>2020</v>
      </c>
      <c r="F920" s="2" t="s">
        <v>221</v>
      </c>
      <c r="G920" s="2" t="s">
        <v>1669</v>
      </c>
      <c r="H920" s="2" t="s">
        <v>1669</v>
      </c>
      <c r="I920" s="1" t="s">
        <v>833</v>
      </c>
      <c r="J920" s="1" t="s">
        <v>834</v>
      </c>
      <c r="L920" s="34"/>
      <c r="M920" s="35"/>
      <c r="N920" s="35"/>
      <c r="O920" s="35"/>
      <c r="P920" s="35"/>
      <c r="Q920" s="35"/>
      <c r="R920" s="14"/>
      <c r="S920" s="14"/>
      <c r="T920" s="35"/>
      <c r="U920" s="35"/>
      <c r="V920" s="60" t="s">
        <v>1719</v>
      </c>
    </row>
    <row r="921" spans="1:22" ht="51" x14ac:dyDescent="0.2">
      <c r="A921" s="1" t="s">
        <v>266</v>
      </c>
      <c r="B921" s="2" t="s">
        <v>463</v>
      </c>
      <c r="C921" s="2" t="s">
        <v>267</v>
      </c>
      <c r="D921" s="2" t="s">
        <v>268</v>
      </c>
      <c r="E921" s="2">
        <v>2020</v>
      </c>
      <c r="F921" s="2" t="s">
        <v>311</v>
      </c>
      <c r="G921" s="2" t="s">
        <v>1669</v>
      </c>
      <c r="H921" s="2" t="s">
        <v>1668</v>
      </c>
      <c r="I921" s="1" t="s">
        <v>1264</v>
      </c>
      <c r="J921" s="1" t="s">
        <v>14</v>
      </c>
      <c r="L921" s="34"/>
      <c r="M921" s="35"/>
      <c r="N921" s="35"/>
      <c r="O921" s="35"/>
      <c r="P921" s="35"/>
      <c r="Q921" s="35"/>
      <c r="R921" s="14"/>
      <c r="S921" s="14"/>
      <c r="T921" s="35"/>
      <c r="U921" s="35"/>
      <c r="V921" s="60" t="s">
        <v>1693</v>
      </c>
    </row>
    <row r="922" spans="1:22" ht="102" x14ac:dyDescent="0.2">
      <c r="A922" s="1" t="s">
        <v>266</v>
      </c>
      <c r="B922" s="2" t="s">
        <v>463</v>
      </c>
      <c r="C922" s="2" t="s">
        <v>267</v>
      </c>
      <c r="D922" s="2" t="s">
        <v>268</v>
      </c>
      <c r="E922" s="2">
        <v>2020</v>
      </c>
      <c r="F922" s="2" t="s">
        <v>337</v>
      </c>
      <c r="G922" s="2" t="s">
        <v>1669</v>
      </c>
      <c r="H922" s="2" t="s">
        <v>1668</v>
      </c>
      <c r="I922" s="1" t="s">
        <v>1409</v>
      </c>
      <c r="J922" s="1" t="s">
        <v>14</v>
      </c>
      <c r="L922" s="34"/>
      <c r="M922" s="35"/>
      <c r="N922" s="35"/>
      <c r="O922" s="35"/>
      <c r="P922" s="35"/>
      <c r="Q922" s="35"/>
      <c r="R922" s="14"/>
      <c r="S922" s="14"/>
      <c r="T922" s="35"/>
      <c r="U922" s="35"/>
      <c r="V922" s="60" t="s">
        <v>1693</v>
      </c>
    </row>
    <row r="923" spans="1:22" ht="38.25" x14ac:dyDescent="0.2">
      <c r="A923" s="1" t="s">
        <v>435</v>
      </c>
      <c r="B923" s="2" t="s">
        <v>436</v>
      </c>
      <c r="C923" s="2" t="s">
        <v>437</v>
      </c>
      <c r="D923" s="2" t="s">
        <v>419</v>
      </c>
      <c r="E923" s="2">
        <v>2020</v>
      </c>
      <c r="F923" s="2" t="s">
        <v>364</v>
      </c>
      <c r="G923" s="2" t="s">
        <v>1669</v>
      </c>
      <c r="H923" s="2" t="s">
        <v>1668</v>
      </c>
      <c r="I923" s="1" t="s">
        <v>1585</v>
      </c>
      <c r="J923" s="1" t="s">
        <v>14</v>
      </c>
      <c r="L923" s="34" t="s">
        <v>1670</v>
      </c>
      <c r="M923" s="35"/>
      <c r="N923" s="35"/>
      <c r="O923" s="35"/>
      <c r="P923" s="35"/>
      <c r="Q923" s="35"/>
      <c r="R923" s="14"/>
      <c r="S923" s="14"/>
      <c r="T923" s="35"/>
      <c r="U923" s="35">
        <v>180</v>
      </c>
      <c r="V923" s="60" t="s">
        <v>1699</v>
      </c>
    </row>
    <row r="924" spans="1:22" ht="25.5" x14ac:dyDescent="0.2">
      <c r="A924" s="1" t="s">
        <v>273</v>
      </c>
      <c r="B924" s="2" t="s">
        <v>196</v>
      </c>
      <c r="C924" s="2" t="s">
        <v>274</v>
      </c>
      <c r="D924" s="2" t="s">
        <v>275</v>
      </c>
      <c r="E924" s="2">
        <v>2020</v>
      </c>
      <c r="F924" s="2" t="s">
        <v>291</v>
      </c>
      <c r="G924" s="2" t="s">
        <v>1669</v>
      </c>
      <c r="H924" s="2" t="s">
        <v>1668</v>
      </c>
      <c r="I924" s="1" t="s">
        <v>1083</v>
      </c>
      <c r="J924" s="1" t="s">
        <v>14</v>
      </c>
      <c r="L924" s="34"/>
      <c r="M924" s="35"/>
      <c r="N924" s="35"/>
      <c r="O924" s="35"/>
      <c r="P924" s="35"/>
      <c r="Q924" s="35"/>
      <c r="R924" s="14"/>
      <c r="S924" s="14"/>
      <c r="T924" s="35"/>
      <c r="U924" s="35"/>
    </row>
    <row r="925" spans="1:22" ht="25.5" x14ac:dyDescent="0.2">
      <c r="A925" s="1" t="s">
        <v>273</v>
      </c>
      <c r="B925" s="2" t="s">
        <v>196</v>
      </c>
      <c r="C925" s="2" t="s">
        <v>274</v>
      </c>
      <c r="D925" s="2" t="s">
        <v>275</v>
      </c>
      <c r="E925" s="2">
        <v>2020</v>
      </c>
      <c r="F925" s="2" t="s">
        <v>311</v>
      </c>
      <c r="G925" s="2" t="s">
        <v>1669</v>
      </c>
      <c r="H925" s="2" t="s">
        <v>1669</v>
      </c>
      <c r="I925" s="1" t="s">
        <v>1283</v>
      </c>
      <c r="J925" s="1" t="s">
        <v>1284</v>
      </c>
      <c r="L925" s="34"/>
      <c r="M925" s="35"/>
      <c r="N925" s="35"/>
      <c r="O925" s="35"/>
      <c r="P925" s="35"/>
      <c r="Q925" s="35"/>
      <c r="R925" s="14"/>
      <c r="S925" s="14"/>
      <c r="T925" s="35"/>
      <c r="U925" s="35"/>
    </row>
    <row r="926" spans="1:22" ht="76.5" x14ac:dyDescent="0.2">
      <c r="A926" s="1" t="s">
        <v>273</v>
      </c>
      <c r="B926" s="2" t="s">
        <v>196</v>
      </c>
      <c r="C926" s="2" t="s">
        <v>274</v>
      </c>
      <c r="D926" s="2" t="s">
        <v>275</v>
      </c>
      <c r="E926" s="2">
        <v>2020</v>
      </c>
      <c r="F926" s="2" t="s">
        <v>337</v>
      </c>
      <c r="G926" s="2" t="s">
        <v>1669</v>
      </c>
      <c r="H926" s="2" t="s">
        <v>1669</v>
      </c>
      <c r="I926" s="1" t="s">
        <v>1345</v>
      </c>
      <c r="J926" s="1" t="s">
        <v>1346</v>
      </c>
      <c r="L926" s="34" t="s">
        <v>1670</v>
      </c>
      <c r="M926" s="35"/>
      <c r="N926" s="35">
        <v>666</v>
      </c>
      <c r="O926" s="35"/>
      <c r="P926" s="35"/>
      <c r="Q926" s="35"/>
      <c r="R926" s="14"/>
      <c r="S926" s="14"/>
      <c r="T926" s="35"/>
      <c r="U926" s="35"/>
      <c r="V926" s="60" t="s">
        <v>1720</v>
      </c>
    </row>
    <row r="927" spans="1:22" ht="38.25" x14ac:dyDescent="0.2">
      <c r="A927" s="1" t="s">
        <v>65</v>
      </c>
      <c r="B927" s="2" t="s">
        <v>29</v>
      </c>
      <c r="C927" s="2" t="s">
        <v>66</v>
      </c>
      <c r="D927" s="2" t="s">
        <v>67</v>
      </c>
      <c r="E927" s="2">
        <v>2020</v>
      </c>
      <c r="F927" s="2" t="s">
        <v>13</v>
      </c>
      <c r="G927" s="2" t="s">
        <v>1667</v>
      </c>
      <c r="H927" s="2" t="s">
        <v>1669</v>
      </c>
      <c r="I927" s="1" t="s">
        <v>14</v>
      </c>
      <c r="J927" s="1" t="s">
        <v>524</v>
      </c>
      <c r="L927" s="34">
        <v>0.17299999999999999</v>
      </c>
      <c r="M927" s="35"/>
      <c r="N927" s="35">
        <f>148.8/2</f>
        <v>74.400000000000006</v>
      </c>
      <c r="O927" s="35">
        <f>148.8/2</f>
        <v>74.400000000000006</v>
      </c>
      <c r="P927" s="35"/>
      <c r="Q927" s="35"/>
      <c r="R927" s="35"/>
      <c r="S927" s="35"/>
      <c r="T927" s="35"/>
      <c r="U927" s="35"/>
      <c r="V927" s="60" t="s">
        <v>1771</v>
      </c>
    </row>
    <row r="928" spans="1:22" ht="38.25" x14ac:dyDescent="0.2">
      <c r="A928" s="1" t="s">
        <v>65</v>
      </c>
      <c r="B928" s="2" t="s">
        <v>29</v>
      </c>
      <c r="C928" s="2" t="s">
        <v>66</v>
      </c>
      <c r="D928" s="2" t="s">
        <v>67</v>
      </c>
      <c r="E928" s="2">
        <v>2020</v>
      </c>
      <c r="F928" s="2" t="s">
        <v>188</v>
      </c>
      <c r="G928" s="2" t="s">
        <v>1667</v>
      </c>
      <c r="H928" s="2" t="s">
        <v>1669</v>
      </c>
      <c r="I928" s="1" t="s">
        <v>14</v>
      </c>
      <c r="J928" s="1" t="s">
        <v>586</v>
      </c>
      <c r="L928" s="34">
        <v>0.17100000000000001</v>
      </c>
      <c r="M928" s="35"/>
      <c r="N928" s="35">
        <f>150.7/2</f>
        <v>75.349999999999994</v>
      </c>
      <c r="O928" s="35">
        <f>150.7/2</f>
        <v>75.349999999999994</v>
      </c>
      <c r="P928" s="35"/>
      <c r="Q928" s="35"/>
      <c r="R928" s="14"/>
      <c r="S928" s="35"/>
      <c r="T928" s="35"/>
      <c r="U928" s="35"/>
      <c r="V928" s="60" t="s">
        <v>1771</v>
      </c>
    </row>
    <row r="929" spans="1:22" ht="38.25" x14ac:dyDescent="0.2">
      <c r="A929" s="1" t="s">
        <v>65</v>
      </c>
      <c r="B929" s="2" t="s">
        <v>29</v>
      </c>
      <c r="C929" s="2" t="s">
        <v>66</v>
      </c>
      <c r="D929" s="2" t="s">
        <v>67</v>
      </c>
      <c r="E929" s="2">
        <v>2020</v>
      </c>
      <c r="F929" s="2" t="s">
        <v>203</v>
      </c>
      <c r="G929" s="2" t="s">
        <v>1667</v>
      </c>
      <c r="H929" s="2" t="s">
        <v>1669</v>
      </c>
      <c r="I929" s="1" t="s">
        <v>14</v>
      </c>
      <c r="J929" s="1" t="s">
        <v>638</v>
      </c>
      <c r="L929" s="34">
        <v>0.19700000000000001</v>
      </c>
      <c r="M929" s="35"/>
      <c r="N929" s="35">
        <f>171.3/2</f>
        <v>85.65</v>
      </c>
      <c r="O929" s="35">
        <f>171.3/2</f>
        <v>85.65</v>
      </c>
      <c r="P929" s="35"/>
      <c r="Q929" s="35"/>
      <c r="R929" s="14"/>
      <c r="S929" s="35"/>
      <c r="T929" s="35"/>
      <c r="U929" s="35"/>
      <c r="V929" s="60" t="s">
        <v>1771</v>
      </c>
    </row>
    <row r="930" spans="1:22" ht="38.25" x14ac:dyDescent="0.2">
      <c r="A930" s="1" t="s">
        <v>65</v>
      </c>
      <c r="B930" s="2" t="s">
        <v>29</v>
      </c>
      <c r="C930" s="2" t="s">
        <v>66</v>
      </c>
      <c r="D930" s="2" t="s">
        <v>67</v>
      </c>
      <c r="E930" s="2">
        <v>2020</v>
      </c>
      <c r="F930" s="2" t="s">
        <v>211</v>
      </c>
      <c r="G930" s="2" t="s">
        <v>1667</v>
      </c>
      <c r="H930" s="2" t="s">
        <v>1669</v>
      </c>
      <c r="I930" s="1" t="s">
        <v>14</v>
      </c>
      <c r="J930" s="1" t="s">
        <v>724</v>
      </c>
      <c r="L930" s="34">
        <v>0.20200000000000001</v>
      </c>
      <c r="M930" s="35"/>
      <c r="N930" s="35">
        <f>106.6/2</f>
        <v>53.3</v>
      </c>
      <c r="O930" s="35">
        <f>106.6/2</f>
        <v>53.3</v>
      </c>
      <c r="P930" s="35"/>
      <c r="Q930" s="35"/>
      <c r="R930" s="14"/>
      <c r="S930" s="35"/>
      <c r="T930" s="35"/>
      <c r="U930" s="35"/>
      <c r="V930" s="60" t="s">
        <v>1771</v>
      </c>
    </row>
    <row r="931" spans="1:22" ht="38.25" x14ac:dyDescent="0.2">
      <c r="A931" s="1" t="s">
        <v>65</v>
      </c>
      <c r="B931" s="2" t="s">
        <v>29</v>
      </c>
      <c r="C931" s="2" t="s">
        <v>66</v>
      </c>
      <c r="D931" s="2" t="s">
        <v>67</v>
      </c>
      <c r="E931" s="2">
        <v>2020</v>
      </c>
      <c r="F931" s="2" t="s">
        <v>221</v>
      </c>
      <c r="G931" s="2" t="s">
        <v>1667</v>
      </c>
      <c r="H931" s="2" t="s">
        <v>1669</v>
      </c>
      <c r="I931" s="1" t="s">
        <v>14</v>
      </c>
      <c r="J931" s="1" t="s">
        <v>846</v>
      </c>
      <c r="L931" s="34">
        <v>0.184</v>
      </c>
      <c r="M931" s="35"/>
      <c r="N931" s="35">
        <f>103.4/2</f>
        <v>51.7</v>
      </c>
      <c r="O931" s="35">
        <f>103.4/2</f>
        <v>51.7</v>
      </c>
      <c r="P931" s="35"/>
      <c r="Q931" s="35"/>
      <c r="R931" s="14"/>
      <c r="S931" s="14"/>
      <c r="T931" s="35"/>
      <c r="U931" s="35"/>
      <c r="V931" s="60" t="s">
        <v>1771</v>
      </c>
    </row>
    <row r="932" spans="1:22" ht="38.25" x14ac:dyDescent="0.2">
      <c r="A932" s="1" t="s">
        <v>65</v>
      </c>
      <c r="B932" s="2" t="s">
        <v>29</v>
      </c>
      <c r="C932" s="2" t="s">
        <v>66</v>
      </c>
      <c r="D932" s="2" t="s">
        <v>67</v>
      </c>
      <c r="E932" s="2">
        <v>2020</v>
      </c>
      <c r="F932" s="2" t="s">
        <v>256</v>
      </c>
      <c r="G932" s="2" t="s">
        <v>1667</v>
      </c>
      <c r="H932" s="2" t="s">
        <v>1669</v>
      </c>
      <c r="I932" s="1" t="s">
        <v>14</v>
      </c>
      <c r="J932" s="1" t="s">
        <v>954</v>
      </c>
      <c r="L932" s="34">
        <v>0.17</v>
      </c>
      <c r="M932" s="35"/>
      <c r="N932" s="35">
        <f>199.2/2</f>
        <v>99.6</v>
      </c>
      <c r="O932" s="35">
        <f>199.2/2</f>
        <v>99.6</v>
      </c>
      <c r="P932" s="35"/>
      <c r="Q932" s="35"/>
      <c r="R932" s="14"/>
      <c r="S932" s="14"/>
      <c r="T932" s="35"/>
      <c r="U932" s="35"/>
      <c r="V932" s="60" t="s">
        <v>1771</v>
      </c>
    </row>
    <row r="933" spans="1:22" ht="38.25" x14ac:dyDescent="0.2">
      <c r="A933" s="1" t="s">
        <v>65</v>
      </c>
      <c r="B933" s="2" t="s">
        <v>29</v>
      </c>
      <c r="C933" s="2" t="s">
        <v>66</v>
      </c>
      <c r="D933" s="2" t="s">
        <v>67</v>
      </c>
      <c r="E933" s="2">
        <v>2020</v>
      </c>
      <c r="F933" s="2" t="s">
        <v>276</v>
      </c>
      <c r="G933" s="2" t="s">
        <v>1667</v>
      </c>
      <c r="H933" s="2" t="s">
        <v>1669</v>
      </c>
      <c r="I933" s="1" t="s">
        <v>14</v>
      </c>
      <c r="J933" s="1" t="s">
        <v>977</v>
      </c>
      <c r="L933" s="34">
        <v>0.182</v>
      </c>
      <c r="M933" s="35"/>
      <c r="N933" s="35">
        <f>190/2</f>
        <v>95</v>
      </c>
      <c r="O933" s="35">
        <f>190/2</f>
        <v>95</v>
      </c>
      <c r="P933" s="35"/>
      <c r="Q933" s="35"/>
      <c r="R933" s="14"/>
      <c r="S933" s="14"/>
      <c r="T933" s="35"/>
      <c r="U933" s="35"/>
      <c r="V933" s="60" t="s">
        <v>1771</v>
      </c>
    </row>
    <row r="934" spans="1:22" ht="38.25" x14ac:dyDescent="0.2">
      <c r="A934" s="1" t="s">
        <v>65</v>
      </c>
      <c r="B934" s="2" t="s">
        <v>29</v>
      </c>
      <c r="C934" s="2" t="s">
        <v>66</v>
      </c>
      <c r="D934" s="2" t="s">
        <v>67</v>
      </c>
      <c r="E934" s="2">
        <v>2020</v>
      </c>
      <c r="F934" s="2" t="s">
        <v>311</v>
      </c>
      <c r="G934" s="2" t="s">
        <v>1667</v>
      </c>
      <c r="H934" s="2" t="s">
        <v>1669</v>
      </c>
      <c r="I934" s="1" t="s">
        <v>14</v>
      </c>
      <c r="J934" s="1" t="s">
        <v>1319</v>
      </c>
      <c r="L934" s="34">
        <v>0.17499999999999999</v>
      </c>
      <c r="M934" s="35"/>
      <c r="N934" s="35">
        <f>81.1/2</f>
        <v>40.549999999999997</v>
      </c>
      <c r="O934" s="35">
        <f>81.1/2</f>
        <v>40.549999999999997</v>
      </c>
      <c r="P934" s="35"/>
      <c r="Q934" s="35"/>
      <c r="R934" s="14"/>
      <c r="S934" s="14"/>
      <c r="T934" s="35"/>
      <c r="U934" s="35"/>
      <c r="V934" s="60" t="s">
        <v>1771</v>
      </c>
    </row>
    <row r="935" spans="1:22" ht="38.25" x14ac:dyDescent="0.2">
      <c r="A935" s="1" t="s">
        <v>65</v>
      </c>
      <c r="B935" s="2" t="s">
        <v>29</v>
      </c>
      <c r="C935" s="2" t="s">
        <v>66</v>
      </c>
      <c r="D935" s="2" t="s">
        <v>67</v>
      </c>
      <c r="E935" s="2">
        <v>2020</v>
      </c>
      <c r="F935" s="2" t="s">
        <v>337</v>
      </c>
      <c r="G935" s="2" t="s">
        <v>1667</v>
      </c>
      <c r="H935" s="2" t="s">
        <v>1669</v>
      </c>
      <c r="I935" s="1" t="s">
        <v>14</v>
      </c>
      <c r="J935" s="1" t="s">
        <v>1441</v>
      </c>
      <c r="L935" s="34">
        <v>0.16800000000000001</v>
      </c>
      <c r="M935" s="35"/>
      <c r="N935" s="35">
        <f>130.9/2</f>
        <v>65.45</v>
      </c>
      <c r="O935" s="35">
        <f>130.9/2</f>
        <v>65.45</v>
      </c>
      <c r="P935" s="35"/>
      <c r="Q935" s="35"/>
      <c r="R935" s="14"/>
      <c r="S935" s="14"/>
      <c r="T935" s="35"/>
      <c r="U935" s="35"/>
      <c r="V935" s="60" t="s">
        <v>1771</v>
      </c>
    </row>
    <row r="936" spans="1:22" ht="38.25" x14ac:dyDescent="0.2">
      <c r="A936" s="1" t="s">
        <v>65</v>
      </c>
      <c r="B936" s="2" t="s">
        <v>29</v>
      </c>
      <c r="C936" s="2" t="s">
        <v>66</v>
      </c>
      <c r="D936" s="2" t="s">
        <v>67</v>
      </c>
      <c r="E936" s="2">
        <v>2020</v>
      </c>
      <c r="F936" s="2" t="s">
        <v>364</v>
      </c>
      <c r="G936" s="2" t="s">
        <v>1667</v>
      </c>
      <c r="H936" s="2" t="s">
        <v>1669</v>
      </c>
      <c r="I936" s="1" t="s">
        <v>14</v>
      </c>
      <c r="J936" s="1" t="s">
        <v>1487</v>
      </c>
      <c r="L936" s="34">
        <v>0.17799999999999999</v>
      </c>
      <c r="M936" s="35"/>
      <c r="N936" s="35">
        <f>105.1/2</f>
        <v>52.55</v>
      </c>
      <c r="O936" s="35">
        <f>105.1/2</f>
        <v>52.55</v>
      </c>
      <c r="P936" s="35"/>
      <c r="Q936" s="35"/>
      <c r="R936" s="14"/>
      <c r="S936" s="14"/>
      <c r="T936" s="35"/>
      <c r="U936" s="35"/>
      <c r="V936" s="60" t="s">
        <v>1771</v>
      </c>
    </row>
    <row r="937" spans="1:22" ht="38.25" x14ac:dyDescent="0.2">
      <c r="A937" s="1" t="s">
        <v>65</v>
      </c>
      <c r="B937" s="2" t="s">
        <v>29</v>
      </c>
      <c r="C937" s="2" t="s">
        <v>66</v>
      </c>
      <c r="D937" s="2" t="s">
        <v>67</v>
      </c>
      <c r="E937" s="2">
        <v>2020</v>
      </c>
      <c r="F937" s="2" t="s">
        <v>388</v>
      </c>
      <c r="G937" s="2" t="s">
        <v>1667</v>
      </c>
      <c r="H937" s="2" t="s">
        <v>1669</v>
      </c>
      <c r="I937" s="1" t="s">
        <v>14</v>
      </c>
      <c r="J937" s="1" t="s">
        <v>1599</v>
      </c>
      <c r="L937" s="34">
        <v>0.16400000000000001</v>
      </c>
      <c r="M937" s="35"/>
      <c r="N937" s="35">
        <f>153.7/2</f>
        <v>76.849999999999994</v>
      </c>
      <c r="O937" s="35">
        <f>153.7/2</f>
        <v>76.849999999999994</v>
      </c>
      <c r="P937" s="35"/>
      <c r="Q937" s="35"/>
      <c r="R937" s="14"/>
      <c r="S937" s="14"/>
      <c r="T937" s="35"/>
      <c r="U937" s="35"/>
      <c r="V937" s="60" t="s">
        <v>1771</v>
      </c>
    </row>
    <row r="938" spans="1:22" ht="38.25" x14ac:dyDescent="0.2">
      <c r="A938" s="1" t="s">
        <v>466</v>
      </c>
      <c r="B938" s="2" t="s">
        <v>196</v>
      </c>
      <c r="C938" s="2" t="s">
        <v>467</v>
      </c>
      <c r="D938" s="2" t="s">
        <v>356</v>
      </c>
      <c r="E938" s="2">
        <v>2020</v>
      </c>
      <c r="F938" s="2" t="s">
        <v>337</v>
      </c>
      <c r="G938" s="2" t="s">
        <v>1669</v>
      </c>
      <c r="H938" s="2" t="s">
        <v>1668</v>
      </c>
      <c r="I938" s="1" t="s">
        <v>1449</v>
      </c>
      <c r="J938" s="1" t="s">
        <v>14</v>
      </c>
      <c r="L938" s="34"/>
      <c r="M938" s="35"/>
      <c r="N938" s="35"/>
      <c r="O938" s="35"/>
      <c r="P938" s="35"/>
      <c r="Q938" s="35"/>
      <c r="R938" s="14"/>
      <c r="S938" s="14"/>
      <c r="T938" s="35"/>
      <c r="U938" s="35"/>
      <c r="V938" s="60" t="s">
        <v>1693</v>
      </c>
    </row>
    <row r="939" spans="1:22" ht="25.5" x14ac:dyDescent="0.2">
      <c r="A939" s="1" t="s">
        <v>378</v>
      </c>
      <c r="B939" s="2" t="s">
        <v>277</v>
      </c>
      <c r="C939" s="2" t="s">
        <v>379</v>
      </c>
      <c r="D939" s="2" t="s">
        <v>380</v>
      </c>
      <c r="E939" s="2">
        <v>2020</v>
      </c>
      <c r="F939" s="2" t="s">
        <v>221</v>
      </c>
      <c r="G939" s="2" t="s">
        <v>1669</v>
      </c>
      <c r="H939" s="2" t="s">
        <v>1669</v>
      </c>
      <c r="I939" s="1" t="s">
        <v>760</v>
      </c>
      <c r="J939" s="1" t="s">
        <v>761</v>
      </c>
      <c r="L939" s="34"/>
      <c r="M939" s="35"/>
      <c r="N939" s="35"/>
      <c r="O939" s="35"/>
      <c r="P939" s="35"/>
      <c r="Q939" s="35"/>
      <c r="R939" s="14"/>
      <c r="S939" s="35"/>
      <c r="T939" s="35"/>
      <c r="U939" s="35"/>
      <c r="V939" s="61" t="s">
        <v>1751</v>
      </c>
    </row>
    <row r="940" spans="1:22" ht="25.5" x14ac:dyDescent="0.2">
      <c r="A940" s="1" t="s">
        <v>381</v>
      </c>
      <c r="B940" s="2" t="s">
        <v>232</v>
      </c>
      <c r="C940" s="2" t="s">
        <v>379</v>
      </c>
      <c r="D940" s="2" t="s">
        <v>380</v>
      </c>
      <c r="E940" s="2">
        <v>2020</v>
      </c>
      <c r="F940" s="2" t="s">
        <v>221</v>
      </c>
      <c r="G940" s="2" t="s">
        <v>1669</v>
      </c>
      <c r="H940" s="2" t="s">
        <v>1669</v>
      </c>
      <c r="I940" s="1" t="s">
        <v>762</v>
      </c>
      <c r="J940" s="1" t="s">
        <v>763</v>
      </c>
      <c r="L940" s="34"/>
      <c r="M940" s="35"/>
      <c r="N940" s="35"/>
      <c r="O940" s="35"/>
      <c r="P940" s="35"/>
      <c r="Q940" s="35"/>
      <c r="R940" s="14"/>
      <c r="S940" s="35"/>
      <c r="T940" s="35"/>
      <c r="U940" s="35"/>
      <c r="V940" s="61" t="s">
        <v>1751</v>
      </c>
    </row>
    <row r="941" spans="1:22" ht="63.75" x14ac:dyDescent="0.2">
      <c r="A941" s="1" t="s">
        <v>455</v>
      </c>
      <c r="B941" s="2" t="s">
        <v>196</v>
      </c>
      <c r="C941" s="2" t="s">
        <v>379</v>
      </c>
      <c r="D941" s="2" t="s">
        <v>380</v>
      </c>
      <c r="E941" s="2">
        <v>2020</v>
      </c>
      <c r="F941" s="2" t="s">
        <v>256</v>
      </c>
      <c r="G941" s="2" t="s">
        <v>1669</v>
      </c>
      <c r="H941" s="2" t="s">
        <v>1669</v>
      </c>
      <c r="I941" s="1" t="s">
        <v>870</v>
      </c>
      <c r="J941" s="1" t="s">
        <v>871</v>
      </c>
      <c r="L941" s="34" t="s">
        <v>1670</v>
      </c>
      <c r="M941" s="35"/>
      <c r="O941" s="35"/>
      <c r="P941" s="35"/>
      <c r="Q941" s="35">
        <v>2800</v>
      </c>
      <c r="R941" s="14"/>
      <c r="S941" s="14"/>
      <c r="T941" s="35"/>
      <c r="U941" s="35"/>
      <c r="V941" s="60" t="s">
        <v>1755</v>
      </c>
    </row>
    <row r="942" spans="1:22" ht="76.5" x14ac:dyDescent="0.2">
      <c r="A942" s="1" t="s">
        <v>455</v>
      </c>
      <c r="B942" s="2" t="s">
        <v>196</v>
      </c>
      <c r="C942" s="2" t="s">
        <v>379</v>
      </c>
      <c r="D942" s="2" t="s">
        <v>380</v>
      </c>
      <c r="E942" s="2">
        <v>2020</v>
      </c>
      <c r="F942" s="2" t="s">
        <v>276</v>
      </c>
      <c r="G942" s="2" t="s">
        <v>1669</v>
      </c>
      <c r="H942" s="2" t="s">
        <v>1669</v>
      </c>
      <c r="I942" s="1" t="s">
        <v>962</v>
      </c>
      <c r="J942" s="1" t="s">
        <v>963</v>
      </c>
      <c r="L942" s="34" t="s">
        <v>1670</v>
      </c>
      <c r="M942" s="35"/>
      <c r="O942" s="35"/>
      <c r="P942" s="35"/>
      <c r="Q942" s="35">
        <f>1800+900</f>
        <v>2700</v>
      </c>
      <c r="R942" s="14"/>
      <c r="S942" s="14"/>
      <c r="T942" s="35"/>
      <c r="U942" s="35"/>
      <c r="V942" s="60" t="s">
        <v>1755</v>
      </c>
    </row>
    <row r="943" spans="1:22" ht="63.75" x14ac:dyDescent="0.2">
      <c r="A943" s="1" t="s">
        <v>455</v>
      </c>
      <c r="B943" s="2" t="s">
        <v>196</v>
      </c>
      <c r="C943" s="2" t="s">
        <v>379</v>
      </c>
      <c r="D943" s="2" t="s">
        <v>380</v>
      </c>
      <c r="E943" s="2">
        <v>2020</v>
      </c>
      <c r="F943" s="2" t="s">
        <v>291</v>
      </c>
      <c r="G943" s="2" t="s">
        <v>1669</v>
      </c>
      <c r="H943" s="2" t="s">
        <v>1669</v>
      </c>
      <c r="I943" s="1" t="s">
        <v>1071</v>
      </c>
      <c r="J943" s="1" t="s">
        <v>1072</v>
      </c>
      <c r="L943" s="34" t="s">
        <v>1670</v>
      </c>
      <c r="M943" s="35"/>
      <c r="O943" s="35"/>
      <c r="P943" s="35"/>
      <c r="Q943" s="35">
        <v>196</v>
      </c>
      <c r="R943" s="14"/>
      <c r="S943" s="14"/>
      <c r="T943" s="35"/>
      <c r="U943" s="35"/>
      <c r="V943" s="60" t="s">
        <v>1755</v>
      </c>
    </row>
    <row r="944" spans="1:22" ht="89.25" x14ac:dyDescent="0.2">
      <c r="A944" s="1" t="s">
        <v>1312</v>
      </c>
      <c r="B944" s="2" t="s">
        <v>196</v>
      </c>
      <c r="C944" s="2" t="s">
        <v>1313</v>
      </c>
      <c r="D944" s="2" t="s">
        <v>230</v>
      </c>
      <c r="E944" s="2">
        <v>2020</v>
      </c>
      <c r="F944" s="2" t="s">
        <v>311</v>
      </c>
      <c r="G944" s="2" t="s">
        <v>1668</v>
      </c>
      <c r="H944" s="2" t="s">
        <v>1669</v>
      </c>
      <c r="I944" s="1" t="s">
        <v>14</v>
      </c>
      <c r="J944" s="1" t="s">
        <v>1314</v>
      </c>
      <c r="L944" s="34">
        <v>0.31</v>
      </c>
      <c r="M944" s="35"/>
      <c r="N944" s="35">
        <f>813+314</f>
        <v>1127</v>
      </c>
      <c r="O944" s="35"/>
      <c r="P944" s="35"/>
      <c r="Q944" s="35"/>
      <c r="R944" s="14">
        <v>116</v>
      </c>
      <c r="S944" s="14"/>
      <c r="T944" s="35"/>
      <c r="U944" s="35"/>
    </row>
    <row r="945" spans="1:22" ht="76.5" x14ac:dyDescent="0.2">
      <c r="A945" s="1" t="s">
        <v>1312</v>
      </c>
      <c r="B945" s="2" t="s">
        <v>196</v>
      </c>
      <c r="C945" s="2" t="s">
        <v>1313</v>
      </c>
      <c r="D945" s="2" t="s">
        <v>230</v>
      </c>
      <c r="E945" s="2">
        <v>2020</v>
      </c>
      <c r="F945" s="2" t="s">
        <v>337</v>
      </c>
      <c r="G945" s="2" t="s">
        <v>1669</v>
      </c>
      <c r="H945" s="2" t="s">
        <v>1668</v>
      </c>
      <c r="I945" s="1" t="s">
        <v>1455</v>
      </c>
      <c r="J945" s="1" t="s">
        <v>14</v>
      </c>
      <c r="L945" s="34"/>
      <c r="M945" s="35"/>
      <c r="N945" s="35"/>
      <c r="O945" s="35"/>
      <c r="P945" s="35"/>
      <c r="Q945" s="35"/>
      <c r="R945" s="14"/>
      <c r="S945" s="14"/>
      <c r="T945" s="35"/>
      <c r="U945" s="35"/>
      <c r="V945" s="61" t="s">
        <v>1714</v>
      </c>
    </row>
    <row r="946" spans="1:22" ht="48" customHeight="1" x14ac:dyDescent="0.2">
      <c r="A946" s="1" t="s">
        <v>231</v>
      </c>
      <c r="B946" s="2" t="s">
        <v>232</v>
      </c>
      <c r="C946" s="2" t="s">
        <v>233</v>
      </c>
      <c r="D946" s="2" t="s">
        <v>234</v>
      </c>
      <c r="E946" s="2">
        <v>2020</v>
      </c>
      <c r="F946" s="2" t="s">
        <v>221</v>
      </c>
      <c r="G946" s="2" t="s">
        <v>1669</v>
      </c>
      <c r="H946" s="2" t="s">
        <v>1669</v>
      </c>
      <c r="I946" s="1" t="s">
        <v>811</v>
      </c>
      <c r="J946" s="1" t="s">
        <v>812</v>
      </c>
      <c r="L946" s="34">
        <v>0.17</v>
      </c>
      <c r="M946" s="35"/>
      <c r="N946" s="35">
        <f>4.9*0.8</f>
        <v>3.9200000000000004</v>
      </c>
      <c r="O946" s="35"/>
      <c r="P946" s="35"/>
      <c r="Q946" s="35"/>
      <c r="R946" s="14"/>
      <c r="S946" s="14"/>
      <c r="T946" s="35"/>
      <c r="U946" s="35"/>
      <c r="V946" s="60" t="s">
        <v>1680</v>
      </c>
    </row>
    <row r="947" spans="1:22" ht="76.5" x14ac:dyDescent="0.2">
      <c r="A947" s="1" t="s">
        <v>231</v>
      </c>
      <c r="B947" s="2" t="s">
        <v>232</v>
      </c>
      <c r="C947" s="2" t="s">
        <v>233</v>
      </c>
      <c r="D947" s="2" t="s">
        <v>234</v>
      </c>
      <c r="E947" s="2">
        <v>2020</v>
      </c>
      <c r="F947" s="2" t="s">
        <v>337</v>
      </c>
      <c r="G947" s="2" t="s">
        <v>1669</v>
      </c>
      <c r="H947" s="2" t="s">
        <v>1669</v>
      </c>
      <c r="I947" s="1" t="s">
        <v>1722</v>
      </c>
      <c r="J947" s="1" t="s">
        <v>1357</v>
      </c>
      <c r="L947" s="34">
        <v>0.17</v>
      </c>
      <c r="M947" s="35"/>
      <c r="N947" s="37">
        <f>2.5*0.8</f>
        <v>2</v>
      </c>
      <c r="O947" s="35"/>
      <c r="P947" s="35"/>
      <c r="Q947" s="35"/>
      <c r="R947" s="14"/>
      <c r="S947" s="14"/>
      <c r="T947" s="35"/>
      <c r="U947" s="35"/>
      <c r="V947" s="60" t="s">
        <v>1680</v>
      </c>
    </row>
    <row r="948" spans="1:22" ht="38.25" x14ac:dyDescent="0.2">
      <c r="A948" s="1" t="s">
        <v>109</v>
      </c>
      <c r="B948" s="2" t="s">
        <v>48</v>
      </c>
      <c r="C948" s="2" t="s">
        <v>110</v>
      </c>
      <c r="D948" s="2" t="s">
        <v>111</v>
      </c>
      <c r="E948" s="2">
        <v>2020</v>
      </c>
      <c r="F948" s="2" t="s">
        <v>13</v>
      </c>
      <c r="G948" s="2" t="s">
        <v>1667</v>
      </c>
      <c r="H948" s="2" t="s">
        <v>1669</v>
      </c>
      <c r="I948" s="1" t="s">
        <v>14</v>
      </c>
      <c r="J948" s="1" t="s">
        <v>539</v>
      </c>
      <c r="L948" s="5">
        <v>0.14699999999999999</v>
      </c>
      <c r="M948" s="35"/>
      <c r="N948" s="35"/>
      <c r="O948" s="35">
        <v>305.5</v>
      </c>
      <c r="P948" s="35"/>
      <c r="Q948" s="35"/>
      <c r="R948" s="35"/>
      <c r="S948" s="35"/>
      <c r="T948" s="35"/>
      <c r="U948" s="35"/>
      <c r="V948" s="60" t="s">
        <v>1737</v>
      </c>
    </row>
    <row r="949" spans="1:22" ht="63" customHeight="1" x14ac:dyDescent="0.2">
      <c r="A949" s="1" t="s">
        <v>109</v>
      </c>
      <c r="B949" s="2" t="s">
        <v>48</v>
      </c>
      <c r="C949" s="2" t="s">
        <v>110</v>
      </c>
      <c r="D949" s="2" t="s">
        <v>111</v>
      </c>
      <c r="E949" s="2">
        <v>2020</v>
      </c>
      <c r="F949" s="2" t="s">
        <v>188</v>
      </c>
      <c r="G949" s="2" t="s">
        <v>1667</v>
      </c>
      <c r="H949" s="2" t="s">
        <v>1669</v>
      </c>
      <c r="I949" s="1" t="s">
        <v>14</v>
      </c>
      <c r="J949" s="1" t="s">
        <v>555</v>
      </c>
      <c r="L949" s="34">
        <v>0.14000000000000001</v>
      </c>
      <c r="M949" s="35"/>
      <c r="N949" s="35"/>
      <c r="O949" s="35">
        <v>175.6</v>
      </c>
      <c r="P949" s="35"/>
      <c r="Q949" s="35"/>
      <c r="R949" s="35"/>
      <c r="S949" s="35"/>
      <c r="T949" s="35"/>
      <c r="U949" s="35"/>
      <c r="V949" s="60" t="s">
        <v>1737</v>
      </c>
    </row>
    <row r="950" spans="1:22" ht="38.25" x14ac:dyDescent="0.2">
      <c r="A950" s="1" t="s">
        <v>109</v>
      </c>
      <c r="B950" s="2" t="s">
        <v>48</v>
      </c>
      <c r="C950" s="2" t="s">
        <v>110</v>
      </c>
      <c r="D950" s="2" t="s">
        <v>111</v>
      </c>
      <c r="E950" s="2">
        <v>2020</v>
      </c>
      <c r="F950" s="2" t="s">
        <v>203</v>
      </c>
      <c r="G950" s="2" t="s">
        <v>1667</v>
      </c>
      <c r="H950" s="2" t="s">
        <v>1669</v>
      </c>
      <c r="I950" s="1" t="s">
        <v>14</v>
      </c>
      <c r="J950" s="1" t="s">
        <v>661</v>
      </c>
      <c r="L950" s="34">
        <v>0.14000000000000001</v>
      </c>
      <c r="M950" s="35"/>
      <c r="N950" s="35"/>
      <c r="O950" s="35">
        <v>389.5</v>
      </c>
      <c r="P950" s="35"/>
      <c r="Q950" s="35"/>
      <c r="R950" s="14"/>
      <c r="S950" s="35"/>
      <c r="T950" s="35"/>
      <c r="U950" s="35"/>
      <c r="V950" s="60" t="s">
        <v>1737</v>
      </c>
    </row>
    <row r="951" spans="1:22" ht="38.25" x14ac:dyDescent="0.2">
      <c r="A951" s="1" t="s">
        <v>109</v>
      </c>
      <c r="B951" s="2" t="s">
        <v>48</v>
      </c>
      <c r="C951" s="2" t="s">
        <v>110</v>
      </c>
      <c r="D951" s="2" t="s">
        <v>111</v>
      </c>
      <c r="E951" s="2">
        <v>2020</v>
      </c>
      <c r="F951" s="2" t="s">
        <v>211</v>
      </c>
      <c r="G951" s="2" t="s">
        <v>1667</v>
      </c>
      <c r="H951" s="2" t="s">
        <v>1669</v>
      </c>
      <c r="I951" s="1" t="s">
        <v>14</v>
      </c>
      <c r="J951" s="1" t="s">
        <v>698</v>
      </c>
      <c r="L951" s="34">
        <v>0.14799999999999999</v>
      </c>
      <c r="M951" s="35"/>
      <c r="N951" s="35"/>
      <c r="O951" s="35">
        <v>305.2</v>
      </c>
      <c r="P951" s="35"/>
      <c r="Q951" s="35"/>
      <c r="R951" s="14"/>
      <c r="S951" s="35"/>
      <c r="T951" s="35"/>
      <c r="U951" s="35"/>
      <c r="V951" s="60" t="s">
        <v>1737</v>
      </c>
    </row>
    <row r="952" spans="1:22" ht="38.25" x14ac:dyDescent="0.2">
      <c r="A952" s="1" t="s">
        <v>109</v>
      </c>
      <c r="B952" s="2" t="s">
        <v>48</v>
      </c>
      <c r="C952" s="2" t="s">
        <v>110</v>
      </c>
      <c r="D952" s="2" t="s">
        <v>111</v>
      </c>
      <c r="E952" s="2">
        <v>2020</v>
      </c>
      <c r="F952" s="2" t="s">
        <v>221</v>
      </c>
      <c r="G952" s="2" t="s">
        <v>1667</v>
      </c>
      <c r="H952" s="2" t="s">
        <v>1669</v>
      </c>
      <c r="I952" s="1" t="s">
        <v>14</v>
      </c>
      <c r="J952" s="1" t="s">
        <v>860</v>
      </c>
      <c r="L952" s="34">
        <v>0.158</v>
      </c>
      <c r="M952" s="35"/>
      <c r="N952" s="35"/>
      <c r="O952" s="35">
        <v>240.5</v>
      </c>
      <c r="P952" s="35"/>
      <c r="Q952" s="35"/>
      <c r="R952" s="14"/>
      <c r="S952" s="14"/>
      <c r="T952" s="35"/>
      <c r="U952" s="35"/>
      <c r="V952" s="60" t="s">
        <v>1737</v>
      </c>
    </row>
    <row r="953" spans="1:22" ht="38.25" x14ac:dyDescent="0.2">
      <c r="A953" s="1" t="s">
        <v>109</v>
      </c>
      <c r="B953" s="2" t="s">
        <v>48</v>
      </c>
      <c r="C953" s="2" t="s">
        <v>110</v>
      </c>
      <c r="D953" s="2" t="s">
        <v>111</v>
      </c>
      <c r="E953" s="2">
        <v>2020</v>
      </c>
      <c r="F953" s="2" t="s">
        <v>256</v>
      </c>
      <c r="G953" s="2" t="s">
        <v>1667</v>
      </c>
      <c r="H953" s="2" t="s">
        <v>1669</v>
      </c>
      <c r="I953" s="1" t="s">
        <v>14</v>
      </c>
      <c r="J953" s="1" t="s">
        <v>935</v>
      </c>
      <c r="L953" s="34">
        <v>0.16400000000000001</v>
      </c>
      <c r="M953" s="35"/>
      <c r="N953" s="35"/>
      <c r="O953" s="35">
        <v>264.2</v>
      </c>
      <c r="P953" s="35"/>
      <c r="Q953" s="35"/>
      <c r="R953" s="14"/>
      <c r="S953" s="14"/>
      <c r="T953" s="35"/>
      <c r="U953" s="35"/>
      <c r="V953" s="60" t="s">
        <v>1737</v>
      </c>
    </row>
    <row r="954" spans="1:22" ht="38.25" x14ac:dyDescent="0.2">
      <c r="A954" s="1" t="s">
        <v>109</v>
      </c>
      <c r="B954" s="2" t="s">
        <v>48</v>
      </c>
      <c r="C954" s="2" t="s">
        <v>110</v>
      </c>
      <c r="D954" s="2" t="s">
        <v>111</v>
      </c>
      <c r="E954" s="2">
        <v>2020</v>
      </c>
      <c r="F954" s="2" t="s">
        <v>276</v>
      </c>
      <c r="G954" s="2" t="s">
        <v>1667</v>
      </c>
      <c r="H954" s="2" t="s">
        <v>1669</v>
      </c>
      <c r="I954" s="1" t="s">
        <v>14</v>
      </c>
      <c r="J954" s="1" t="s">
        <v>992</v>
      </c>
      <c r="L954" s="34">
        <v>0.16500000000000001</v>
      </c>
      <c r="M954" s="35"/>
      <c r="N954" s="35"/>
      <c r="O954" s="35">
        <v>312.7</v>
      </c>
      <c r="P954" s="35"/>
      <c r="Q954" s="35"/>
      <c r="R954" s="14"/>
      <c r="S954" s="14"/>
      <c r="T954" s="35"/>
      <c r="U954" s="35"/>
      <c r="V954" s="60" t="s">
        <v>1737</v>
      </c>
    </row>
    <row r="955" spans="1:22" ht="38.25" x14ac:dyDescent="0.2">
      <c r="A955" s="1" t="s">
        <v>109</v>
      </c>
      <c r="B955" s="2" t="s">
        <v>48</v>
      </c>
      <c r="C955" s="2" t="s">
        <v>110</v>
      </c>
      <c r="D955" s="2" t="s">
        <v>111</v>
      </c>
      <c r="E955" s="2">
        <v>2020</v>
      </c>
      <c r="F955" s="2" t="s">
        <v>291</v>
      </c>
      <c r="G955" s="2" t="s">
        <v>1667</v>
      </c>
      <c r="H955" s="2" t="s">
        <v>1669</v>
      </c>
      <c r="I955" s="1" t="s">
        <v>14</v>
      </c>
      <c r="J955" s="1" t="s">
        <v>1191</v>
      </c>
      <c r="L955" s="34">
        <v>0.17299999999999999</v>
      </c>
      <c r="M955" s="35"/>
      <c r="N955" s="35"/>
      <c r="O955" s="35">
        <v>124</v>
      </c>
      <c r="P955" s="35"/>
      <c r="Q955" s="35"/>
      <c r="R955" s="14"/>
      <c r="S955" s="14"/>
      <c r="T955" s="35"/>
      <c r="U955" s="35"/>
      <c r="V955" s="60" t="s">
        <v>1737</v>
      </c>
    </row>
    <row r="956" spans="1:22" ht="38.25" x14ac:dyDescent="0.2">
      <c r="A956" s="1" t="s">
        <v>109</v>
      </c>
      <c r="B956" s="2" t="s">
        <v>48</v>
      </c>
      <c r="C956" s="2" t="s">
        <v>110</v>
      </c>
      <c r="D956" s="2" t="s">
        <v>111</v>
      </c>
      <c r="E956" s="2">
        <v>2020</v>
      </c>
      <c r="F956" s="2" t="s">
        <v>311</v>
      </c>
      <c r="G956" s="2" t="s">
        <v>1667</v>
      </c>
      <c r="H956" s="2" t="s">
        <v>1669</v>
      </c>
      <c r="I956" s="1" t="s">
        <v>14</v>
      </c>
      <c r="J956" s="1" t="s">
        <v>1311</v>
      </c>
      <c r="L956" s="34">
        <v>0.17299999999999999</v>
      </c>
      <c r="M956" s="35"/>
      <c r="N956" s="35"/>
      <c r="O956" s="35">
        <v>295.5</v>
      </c>
      <c r="P956" s="35"/>
      <c r="Q956" s="35"/>
      <c r="R956" s="14"/>
      <c r="S956" s="14"/>
      <c r="T956" s="35"/>
      <c r="U956" s="35"/>
      <c r="V956" s="60" t="s">
        <v>1737</v>
      </c>
    </row>
    <row r="957" spans="1:22" ht="38.25" x14ac:dyDescent="0.2">
      <c r="A957" s="1" t="s">
        <v>109</v>
      </c>
      <c r="B957" s="2" t="s">
        <v>48</v>
      </c>
      <c r="C957" s="2" t="s">
        <v>110</v>
      </c>
      <c r="D957" s="2" t="s">
        <v>111</v>
      </c>
      <c r="E957" s="2">
        <v>2020</v>
      </c>
      <c r="F957" s="2" t="s">
        <v>337</v>
      </c>
      <c r="G957" s="2" t="s">
        <v>1667</v>
      </c>
      <c r="H957" s="2" t="s">
        <v>1669</v>
      </c>
      <c r="I957" s="1" t="s">
        <v>14</v>
      </c>
      <c r="J957" s="1" t="s">
        <v>1467</v>
      </c>
      <c r="L957" s="34">
        <v>0.16700000000000001</v>
      </c>
      <c r="M957" s="35"/>
      <c r="N957" s="35"/>
      <c r="O957" s="35">
        <v>338.3</v>
      </c>
      <c r="P957" s="35"/>
      <c r="Q957" s="35"/>
      <c r="R957" s="14"/>
      <c r="S957" s="14"/>
      <c r="T957" s="35"/>
      <c r="U957" s="35"/>
      <c r="V957" s="60" t="s">
        <v>1737</v>
      </c>
    </row>
    <row r="958" spans="1:22" ht="38.25" x14ac:dyDescent="0.2">
      <c r="A958" s="1" t="s">
        <v>109</v>
      </c>
      <c r="B958" s="2" t="s">
        <v>48</v>
      </c>
      <c r="C958" s="2" t="s">
        <v>110</v>
      </c>
      <c r="D958" s="2" t="s">
        <v>111</v>
      </c>
      <c r="E958" s="2">
        <v>2020</v>
      </c>
      <c r="F958" s="2" t="s">
        <v>364</v>
      </c>
      <c r="G958" s="2" t="s">
        <v>1667</v>
      </c>
      <c r="H958" s="2" t="s">
        <v>1669</v>
      </c>
      <c r="I958" s="1" t="s">
        <v>14</v>
      </c>
      <c r="J958" s="1" t="s">
        <v>1521</v>
      </c>
      <c r="L958" s="34">
        <v>0.157</v>
      </c>
      <c r="M958" s="35"/>
      <c r="N958" s="35"/>
      <c r="O958" s="35">
        <v>214.9</v>
      </c>
      <c r="P958" s="35"/>
      <c r="Q958" s="35"/>
      <c r="R958" s="14"/>
      <c r="S958" s="14"/>
      <c r="T958" s="35"/>
      <c r="U958" s="35"/>
      <c r="V958" s="60" t="s">
        <v>1737</v>
      </c>
    </row>
    <row r="959" spans="1:22" ht="38.25" x14ac:dyDescent="0.2">
      <c r="A959" s="1" t="s">
        <v>109</v>
      </c>
      <c r="B959" s="2" t="s">
        <v>48</v>
      </c>
      <c r="C959" s="2" t="s">
        <v>110</v>
      </c>
      <c r="D959" s="2" t="s">
        <v>111</v>
      </c>
      <c r="E959" s="2">
        <v>2020</v>
      </c>
      <c r="F959" s="2" t="s">
        <v>388</v>
      </c>
      <c r="G959" s="2" t="s">
        <v>1667</v>
      </c>
      <c r="H959" s="2" t="s">
        <v>1669</v>
      </c>
      <c r="I959" s="1" t="s">
        <v>14</v>
      </c>
      <c r="J959" s="1" t="s">
        <v>1637</v>
      </c>
      <c r="L959" s="34">
        <v>0.14199999999999999</v>
      </c>
      <c r="M959" s="35">
        <v>286.39999999999998</v>
      </c>
      <c r="N959" s="35"/>
      <c r="O959" s="35"/>
      <c r="P959" s="35"/>
      <c r="Q959" s="35"/>
      <c r="R959" s="35"/>
      <c r="S959" s="35"/>
      <c r="T959" s="35"/>
      <c r="U959" s="35"/>
      <c r="V959" s="60" t="s">
        <v>1737</v>
      </c>
    </row>
    <row r="960" spans="1:22" ht="38.25" x14ac:dyDescent="0.2">
      <c r="A960" s="1" t="s">
        <v>269</v>
      </c>
      <c r="B960" s="2" t="s">
        <v>213</v>
      </c>
      <c r="C960" s="2" t="s">
        <v>110</v>
      </c>
      <c r="D960" s="2" t="s">
        <v>111</v>
      </c>
      <c r="E960" s="2">
        <v>2020</v>
      </c>
      <c r="F960" s="2" t="s">
        <v>211</v>
      </c>
      <c r="G960" s="2" t="s">
        <v>1669</v>
      </c>
      <c r="H960" s="2" t="s">
        <v>1669</v>
      </c>
      <c r="I960" s="1" t="s">
        <v>688</v>
      </c>
      <c r="J960" s="1" t="s">
        <v>689</v>
      </c>
      <c r="L960" s="42">
        <v>1.6500000000000001E-2</v>
      </c>
      <c r="M960" s="35"/>
      <c r="N960" s="35"/>
      <c r="O960" s="35"/>
      <c r="P960" s="35"/>
      <c r="Q960" s="35"/>
      <c r="R960" s="44">
        <v>10.4</v>
      </c>
      <c r="S960" s="35"/>
      <c r="T960" s="35"/>
      <c r="U960" s="35"/>
      <c r="V960" s="60" t="s">
        <v>1699</v>
      </c>
    </row>
    <row r="961" spans="1:22" ht="38.25" x14ac:dyDescent="0.2">
      <c r="A961" s="1" t="s">
        <v>269</v>
      </c>
      <c r="B961" s="2" t="s">
        <v>213</v>
      </c>
      <c r="C961" s="2" t="s">
        <v>110</v>
      </c>
      <c r="D961" s="2" t="s">
        <v>111</v>
      </c>
      <c r="E961" s="2">
        <v>2020</v>
      </c>
      <c r="F961" s="2" t="s">
        <v>256</v>
      </c>
      <c r="G961" s="2" t="s">
        <v>1668</v>
      </c>
      <c r="H961" s="2" t="s">
        <v>1669</v>
      </c>
      <c r="I961" s="1" t="s">
        <v>14</v>
      </c>
      <c r="J961" s="1" t="s">
        <v>914</v>
      </c>
      <c r="L961" s="34">
        <v>0.16500000000000001</v>
      </c>
      <c r="M961" s="35"/>
      <c r="N961" s="35"/>
      <c r="O961" s="35"/>
      <c r="P961" s="35"/>
      <c r="Q961" s="35"/>
      <c r="R961" s="44">
        <f>10.2*0.8</f>
        <v>8.16</v>
      </c>
      <c r="S961" s="14"/>
      <c r="T961" s="35"/>
      <c r="U961" s="35"/>
      <c r="V961" s="60" t="s">
        <v>1680</v>
      </c>
    </row>
    <row r="962" spans="1:22" ht="38.25" x14ac:dyDescent="0.2">
      <c r="A962" s="1" t="s">
        <v>269</v>
      </c>
      <c r="B962" s="2" t="s">
        <v>213</v>
      </c>
      <c r="C962" s="2" t="s">
        <v>110</v>
      </c>
      <c r="D962" s="2" t="s">
        <v>111</v>
      </c>
      <c r="E962" s="2">
        <v>2020</v>
      </c>
      <c r="F962" s="2" t="s">
        <v>291</v>
      </c>
      <c r="G962" s="2" t="s">
        <v>1668</v>
      </c>
      <c r="H962" s="2" t="s">
        <v>1669</v>
      </c>
      <c r="I962" s="1" t="s">
        <v>14</v>
      </c>
      <c r="J962" s="1" t="s">
        <v>1188</v>
      </c>
      <c r="L962" s="34">
        <v>0.16500000000000001</v>
      </c>
      <c r="M962" s="35"/>
      <c r="N962" s="35"/>
      <c r="O962" s="35"/>
      <c r="P962" s="35"/>
      <c r="Q962" s="35"/>
      <c r="R962" s="44">
        <f>10.2*0.8</f>
        <v>8.16</v>
      </c>
      <c r="S962" s="14"/>
      <c r="T962" s="35"/>
      <c r="U962" s="35"/>
      <c r="V962" s="60" t="s">
        <v>1680</v>
      </c>
    </row>
    <row r="963" spans="1:22" ht="38.25" x14ac:dyDescent="0.2">
      <c r="A963" s="1" t="s">
        <v>269</v>
      </c>
      <c r="B963" s="2" t="s">
        <v>213</v>
      </c>
      <c r="C963" s="2" t="s">
        <v>110</v>
      </c>
      <c r="D963" s="2" t="s">
        <v>111</v>
      </c>
      <c r="E963" s="2">
        <v>2020</v>
      </c>
      <c r="F963" s="2" t="s">
        <v>364</v>
      </c>
      <c r="G963" s="2" t="s">
        <v>1669</v>
      </c>
      <c r="H963" s="2" t="s">
        <v>1669</v>
      </c>
      <c r="I963" s="1" t="s">
        <v>1539</v>
      </c>
      <c r="J963" s="1" t="s">
        <v>1540</v>
      </c>
      <c r="L963" s="42">
        <v>1.7000000000000001E-2</v>
      </c>
      <c r="M963" s="35"/>
      <c r="N963" s="35"/>
      <c r="O963" s="35"/>
      <c r="P963" s="35"/>
      <c r="Q963" s="35"/>
      <c r="R963" s="44">
        <v>10.4</v>
      </c>
      <c r="S963" s="14"/>
      <c r="T963" s="35"/>
      <c r="U963" s="35"/>
      <c r="V963" s="60" t="s">
        <v>1699</v>
      </c>
    </row>
    <row r="964" spans="1:22" ht="38.25" x14ac:dyDescent="0.2">
      <c r="A964" s="1" t="s">
        <v>270</v>
      </c>
      <c r="B964" s="2" t="s">
        <v>271</v>
      </c>
      <c r="C964" s="2" t="s">
        <v>110</v>
      </c>
      <c r="D964" s="2" t="s">
        <v>111</v>
      </c>
      <c r="E964" s="2">
        <v>2020</v>
      </c>
      <c r="F964" s="2" t="s">
        <v>276</v>
      </c>
      <c r="G964" s="2" t="s">
        <v>1669</v>
      </c>
      <c r="H964" s="2" t="s">
        <v>1669</v>
      </c>
      <c r="I964" s="1" t="s">
        <v>1034</v>
      </c>
      <c r="J964" s="1" t="s">
        <v>1035</v>
      </c>
      <c r="L964" s="34">
        <v>2.1000000000000001E-2</v>
      </c>
      <c r="M964" s="35"/>
      <c r="N964" s="35"/>
      <c r="O964" s="35"/>
      <c r="P964" s="35"/>
      <c r="Q964" s="35"/>
      <c r="R964" s="14">
        <v>65</v>
      </c>
      <c r="S964" s="14"/>
      <c r="T964" s="35"/>
      <c r="U964" s="35"/>
      <c r="V964" s="60" t="s">
        <v>1699</v>
      </c>
    </row>
    <row r="965" spans="1:22" ht="89.25" x14ac:dyDescent="0.2">
      <c r="A965" s="1" t="s">
        <v>370</v>
      </c>
      <c r="B965" s="2" t="s">
        <v>196</v>
      </c>
      <c r="C965" s="2" t="s">
        <v>371</v>
      </c>
      <c r="D965" s="2" t="s">
        <v>297</v>
      </c>
      <c r="E965" s="2">
        <v>2020</v>
      </c>
      <c r="F965" s="2" t="s">
        <v>276</v>
      </c>
      <c r="G965" s="2" t="s">
        <v>1669</v>
      </c>
      <c r="H965" s="2" t="s">
        <v>1668</v>
      </c>
      <c r="I965" s="1" t="s">
        <v>1032</v>
      </c>
      <c r="J965" s="1" t="s">
        <v>14</v>
      </c>
      <c r="L965" s="34"/>
      <c r="M965" s="35"/>
      <c r="N965" s="35"/>
      <c r="O965" s="35"/>
      <c r="P965" s="35"/>
      <c r="Q965" s="35"/>
      <c r="R965" s="14"/>
      <c r="S965" s="14"/>
      <c r="T965" s="35"/>
      <c r="U965" s="35"/>
      <c r="V965" s="61" t="s">
        <v>1714</v>
      </c>
    </row>
    <row r="966" spans="1:22" ht="63.75" x14ac:dyDescent="0.2">
      <c r="A966" s="1" t="s">
        <v>176</v>
      </c>
      <c r="B966" s="2" t="s">
        <v>29</v>
      </c>
      <c r="C966" s="2" t="s">
        <v>177</v>
      </c>
      <c r="D966" s="2" t="s">
        <v>58</v>
      </c>
      <c r="E966" s="2">
        <v>2020</v>
      </c>
      <c r="F966" s="2" t="s">
        <v>13</v>
      </c>
      <c r="G966" s="2" t="s">
        <v>1667</v>
      </c>
      <c r="H966" s="2" t="s">
        <v>1669</v>
      </c>
      <c r="I966" s="1" t="s">
        <v>14</v>
      </c>
      <c r="J966" s="1" t="s">
        <v>543</v>
      </c>
      <c r="L966" s="34">
        <v>0.19700000000000001</v>
      </c>
      <c r="M966" s="35"/>
      <c r="N966" s="35">
        <v>524.88</v>
      </c>
      <c r="O966" s="35"/>
      <c r="P966" s="35"/>
      <c r="Q966" s="35"/>
      <c r="R966" s="35"/>
      <c r="S966" s="35"/>
      <c r="T966" s="35"/>
      <c r="U966" s="35"/>
    </row>
    <row r="967" spans="1:22" ht="63.75" x14ac:dyDescent="0.2">
      <c r="A967" s="1" t="s">
        <v>176</v>
      </c>
      <c r="B967" s="2" t="s">
        <v>29</v>
      </c>
      <c r="C967" s="2" t="s">
        <v>177</v>
      </c>
      <c r="D967" s="2" t="s">
        <v>58</v>
      </c>
      <c r="E967" s="2">
        <v>2020</v>
      </c>
      <c r="F967" s="2" t="s">
        <v>188</v>
      </c>
      <c r="G967" s="2" t="s">
        <v>1667</v>
      </c>
      <c r="H967" s="2" t="s">
        <v>1669</v>
      </c>
      <c r="I967" s="1" t="s">
        <v>14</v>
      </c>
      <c r="J967" s="1" t="s">
        <v>560</v>
      </c>
      <c r="L967" s="34">
        <v>0.191</v>
      </c>
      <c r="M967" s="35"/>
      <c r="N967" s="35">
        <v>506.58</v>
      </c>
      <c r="O967" s="35"/>
      <c r="P967" s="35"/>
      <c r="Q967" s="35"/>
      <c r="R967" s="35"/>
      <c r="S967" s="35"/>
      <c r="T967" s="35"/>
      <c r="U967" s="35"/>
    </row>
    <row r="968" spans="1:22" ht="51" x14ac:dyDescent="0.2">
      <c r="A968" s="1" t="s">
        <v>176</v>
      </c>
      <c r="B968" s="2" t="s">
        <v>29</v>
      </c>
      <c r="C968" s="2" t="s">
        <v>177</v>
      </c>
      <c r="D968" s="2" t="s">
        <v>58</v>
      </c>
      <c r="E968" s="2">
        <v>2020</v>
      </c>
      <c r="F968" s="2" t="s">
        <v>203</v>
      </c>
      <c r="G968" s="2" t="s">
        <v>1667</v>
      </c>
      <c r="H968" s="2" t="s">
        <v>1669</v>
      </c>
      <c r="I968" s="1" t="s">
        <v>14</v>
      </c>
      <c r="J968" s="1" t="s">
        <v>663</v>
      </c>
      <c r="L968" s="34">
        <v>0.20599999999999999</v>
      </c>
      <c r="M968" s="35"/>
      <c r="N968" s="35">
        <v>536.37</v>
      </c>
      <c r="O968" s="35"/>
      <c r="P968" s="35"/>
      <c r="Q968" s="35"/>
      <c r="R968" s="14"/>
      <c r="S968" s="35"/>
      <c r="T968" s="35"/>
      <c r="U968" s="35"/>
    </row>
    <row r="969" spans="1:22" ht="51" x14ac:dyDescent="0.2">
      <c r="A969" s="1" t="s">
        <v>176</v>
      </c>
      <c r="B969" s="2" t="s">
        <v>29</v>
      </c>
      <c r="C969" s="2" t="s">
        <v>177</v>
      </c>
      <c r="D969" s="2" t="s">
        <v>58</v>
      </c>
      <c r="E969" s="2">
        <v>2020</v>
      </c>
      <c r="F969" s="2" t="s">
        <v>211</v>
      </c>
      <c r="G969" s="2" t="s">
        <v>1667</v>
      </c>
      <c r="H969" s="2" t="s">
        <v>1669</v>
      </c>
      <c r="I969" s="1" t="s">
        <v>14</v>
      </c>
      <c r="J969" s="1" t="s">
        <v>700</v>
      </c>
      <c r="L969" s="34">
        <v>0.20100000000000001</v>
      </c>
      <c r="M969" s="35"/>
      <c r="N969" s="35">
        <v>494.52</v>
      </c>
      <c r="O969" s="35"/>
      <c r="P969" s="35"/>
      <c r="Q969" s="35"/>
      <c r="R969" s="14"/>
      <c r="S969" s="35"/>
      <c r="T969" s="35"/>
      <c r="U969" s="35"/>
    </row>
    <row r="970" spans="1:22" ht="63.75" x14ac:dyDescent="0.2">
      <c r="A970" s="1" t="s">
        <v>176</v>
      </c>
      <c r="B970" s="2" t="s">
        <v>29</v>
      </c>
      <c r="C970" s="2" t="s">
        <v>177</v>
      </c>
      <c r="D970" s="2" t="s">
        <v>58</v>
      </c>
      <c r="E970" s="2">
        <v>2020</v>
      </c>
      <c r="F970" s="2" t="s">
        <v>221</v>
      </c>
      <c r="G970" s="2" t="s">
        <v>1667</v>
      </c>
      <c r="H970" s="2" t="s">
        <v>1669</v>
      </c>
      <c r="I970" s="1" t="s">
        <v>14</v>
      </c>
      <c r="J970" s="1" t="s">
        <v>851</v>
      </c>
      <c r="L970" s="34">
        <v>0.2</v>
      </c>
      <c r="M970" s="35"/>
      <c r="N970" s="35">
        <v>586.29999999999995</v>
      </c>
      <c r="O970" s="35"/>
      <c r="P970" s="35"/>
      <c r="Q970" s="35"/>
      <c r="R970" s="14"/>
      <c r="S970" s="14"/>
      <c r="T970" s="35"/>
      <c r="U970" s="35"/>
    </row>
    <row r="971" spans="1:22" ht="63.75" x14ac:dyDescent="0.2">
      <c r="A971" s="1" t="s">
        <v>176</v>
      </c>
      <c r="B971" s="2" t="s">
        <v>29</v>
      </c>
      <c r="C971" s="2" t="s">
        <v>177</v>
      </c>
      <c r="D971" s="2" t="s">
        <v>58</v>
      </c>
      <c r="E971" s="2">
        <v>2020</v>
      </c>
      <c r="F971" s="2" t="s">
        <v>256</v>
      </c>
      <c r="G971" s="2" t="s">
        <v>1667</v>
      </c>
      <c r="H971" s="2" t="s">
        <v>1669</v>
      </c>
      <c r="I971" s="1" t="s">
        <v>14</v>
      </c>
      <c r="J971" s="1" t="s">
        <v>928</v>
      </c>
      <c r="L971" s="34">
        <v>0.21199999999999999</v>
      </c>
      <c r="M971" s="35"/>
      <c r="N971" s="35">
        <v>549.86</v>
      </c>
      <c r="O971" s="35"/>
      <c r="P971" s="35"/>
      <c r="Q971" s="35"/>
      <c r="R971" s="14"/>
      <c r="S971" s="14"/>
      <c r="T971" s="35"/>
      <c r="U971" s="35"/>
    </row>
    <row r="972" spans="1:22" ht="76.5" x14ac:dyDescent="0.2">
      <c r="A972" s="1" t="s">
        <v>176</v>
      </c>
      <c r="B972" s="2" t="s">
        <v>29</v>
      </c>
      <c r="C972" s="2" t="s">
        <v>177</v>
      </c>
      <c r="D972" s="2" t="s">
        <v>58</v>
      </c>
      <c r="E972" s="2">
        <v>2020</v>
      </c>
      <c r="F972" s="2" t="s">
        <v>276</v>
      </c>
      <c r="G972" s="2" t="s">
        <v>1667</v>
      </c>
      <c r="H972" s="2" t="s">
        <v>1669</v>
      </c>
      <c r="I972" s="1" t="s">
        <v>14</v>
      </c>
      <c r="J972" s="1" t="s">
        <v>1062</v>
      </c>
      <c r="L972" s="34">
        <v>0.20599999999999999</v>
      </c>
      <c r="M972" s="35"/>
      <c r="N972" s="35">
        <v>524.58000000000004</v>
      </c>
      <c r="O972" s="35"/>
      <c r="P972" s="35"/>
      <c r="Q972" s="35"/>
      <c r="R972" s="14"/>
      <c r="S972" s="14"/>
      <c r="T972" s="35"/>
      <c r="U972" s="35"/>
    </row>
    <row r="973" spans="1:22" ht="76.5" x14ac:dyDescent="0.2">
      <c r="A973" s="1" t="s">
        <v>176</v>
      </c>
      <c r="B973" s="2" t="s">
        <v>29</v>
      </c>
      <c r="C973" s="2" t="s">
        <v>177</v>
      </c>
      <c r="D973" s="2" t="s">
        <v>58</v>
      </c>
      <c r="E973" s="2">
        <v>2020</v>
      </c>
      <c r="F973" s="2" t="s">
        <v>291</v>
      </c>
      <c r="G973" s="2" t="s">
        <v>1667</v>
      </c>
      <c r="H973" s="2" t="s">
        <v>1669</v>
      </c>
      <c r="I973" s="1" t="s">
        <v>14</v>
      </c>
      <c r="J973" s="1" t="s">
        <v>1198</v>
      </c>
      <c r="L973" s="34">
        <v>0.20300000000000001</v>
      </c>
      <c r="M973" s="35"/>
      <c r="N973" s="35">
        <v>512.23</v>
      </c>
      <c r="O973" s="35"/>
      <c r="P973" s="35"/>
      <c r="Q973" s="35"/>
      <c r="R973" s="14"/>
      <c r="S973" s="14"/>
      <c r="T973" s="35"/>
      <c r="U973" s="35"/>
    </row>
    <row r="974" spans="1:22" ht="102" x14ac:dyDescent="0.2">
      <c r="A974" s="1" t="s">
        <v>176</v>
      </c>
      <c r="B974" s="2" t="s">
        <v>29</v>
      </c>
      <c r="C974" s="2" t="s">
        <v>177</v>
      </c>
      <c r="D974" s="2" t="s">
        <v>58</v>
      </c>
      <c r="E974" s="2">
        <v>2020</v>
      </c>
      <c r="F974" s="2" t="s">
        <v>311</v>
      </c>
      <c r="G974" s="2" t="s">
        <v>1667</v>
      </c>
      <c r="H974" s="2" t="s">
        <v>1669</v>
      </c>
      <c r="I974" s="1" t="s">
        <v>14</v>
      </c>
      <c r="J974" s="1" t="s">
        <v>1308</v>
      </c>
      <c r="L974" s="34">
        <v>0.20499999999999999</v>
      </c>
      <c r="M974" s="35"/>
      <c r="N974" s="35">
        <v>456.28</v>
      </c>
      <c r="O974" s="35"/>
      <c r="P974" s="35"/>
      <c r="Q974" s="35"/>
      <c r="R974" s="14"/>
      <c r="S974" s="14"/>
      <c r="T974" s="35"/>
      <c r="U974" s="35"/>
    </row>
    <row r="975" spans="1:22" ht="89.25" x14ac:dyDescent="0.2">
      <c r="A975" s="1" t="s">
        <v>176</v>
      </c>
      <c r="B975" s="2" t="s">
        <v>29</v>
      </c>
      <c r="C975" s="2" t="s">
        <v>177</v>
      </c>
      <c r="D975" s="2" t="s">
        <v>58</v>
      </c>
      <c r="E975" s="2">
        <v>2020</v>
      </c>
      <c r="F975" s="2" t="s">
        <v>337</v>
      </c>
      <c r="G975" s="2" t="s">
        <v>1667</v>
      </c>
      <c r="H975" s="2" t="s">
        <v>1669</v>
      </c>
      <c r="I975" s="1" t="s">
        <v>14</v>
      </c>
      <c r="J975" s="1" t="s">
        <v>1448</v>
      </c>
      <c r="L975" s="34">
        <v>0.20799999999999999</v>
      </c>
      <c r="M975" s="35"/>
      <c r="N975" s="35">
        <v>491.97</v>
      </c>
      <c r="O975" s="35"/>
      <c r="P975" s="35"/>
      <c r="Q975" s="35"/>
      <c r="R975" s="14"/>
      <c r="S975" s="14"/>
      <c r="T975" s="35"/>
      <c r="U975" s="35"/>
    </row>
    <row r="976" spans="1:22" ht="76.5" x14ac:dyDescent="0.2">
      <c r="A976" s="1" t="s">
        <v>176</v>
      </c>
      <c r="B976" s="2" t="s">
        <v>29</v>
      </c>
      <c r="C976" s="2" t="s">
        <v>177</v>
      </c>
      <c r="D976" s="2" t="s">
        <v>58</v>
      </c>
      <c r="E976" s="2">
        <v>2020</v>
      </c>
      <c r="F976" s="2" t="s">
        <v>364</v>
      </c>
      <c r="G976" s="2" t="s">
        <v>1667</v>
      </c>
      <c r="H976" s="2" t="s">
        <v>1669</v>
      </c>
      <c r="I976" s="1" t="s">
        <v>14</v>
      </c>
      <c r="J976" s="1" t="s">
        <v>1498</v>
      </c>
      <c r="L976" s="34">
        <v>0.20499999999999999</v>
      </c>
      <c r="M976" s="35"/>
      <c r="N976" s="35">
        <v>554.29999999999995</v>
      </c>
      <c r="O976" s="35"/>
      <c r="P976" s="35"/>
      <c r="Q976" s="35"/>
      <c r="R976" s="14"/>
      <c r="S976" s="14"/>
      <c r="T976" s="35"/>
      <c r="U976" s="35"/>
    </row>
    <row r="977" spans="1:22" ht="63.75" x14ac:dyDescent="0.2">
      <c r="A977" s="1" t="s">
        <v>176</v>
      </c>
      <c r="B977" s="2" t="s">
        <v>29</v>
      </c>
      <c r="C977" s="2" t="s">
        <v>177</v>
      </c>
      <c r="D977" s="2" t="s">
        <v>58</v>
      </c>
      <c r="E977" s="2">
        <v>2020</v>
      </c>
      <c r="F977" s="2" t="s">
        <v>388</v>
      </c>
      <c r="G977" s="2" t="s">
        <v>1667</v>
      </c>
      <c r="H977" s="2" t="s">
        <v>1669</v>
      </c>
      <c r="I977" s="1" t="s">
        <v>14</v>
      </c>
      <c r="J977" s="1" t="s">
        <v>1618</v>
      </c>
      <c r="L977" s="34">
        <v>0.20599999999999999</v>
      </c>
      <c r="M977" s="35"/>
      <c r="N977" s="35">
        <v>529.91999999999996</v>
      </c>
      <c r="O977" s="35"/>
      <c r="P977" s="35"/>
      <c r="Q977" s="35"/>
      <c r="R977" s="35"/>
      <c r="S977" s="35"/>
      <c r="T977" s="35"/>
      <c r="U977" s="35"/>
    </row>
    <row r="978" spans="1:22" ht="63.75" x14ac:dyDescent="0.2">
      <c r="A978" s="1" t="s">
        <v>315</v>
      </c>
      <c r="B978" s="2" t="s">
        <v>196</v>
      </c>
      <c r="C978" s="2" t="s">
        <v>316</v>
      </c>
      <c r="D978" s="2" t="s">
        <v>77</v>
      </c>
      <c r="E978" s="2">
        <v>2020</v>
      </c>
      <c r="F978" s="2" t="s">
        <v>276</v>
      </c>
      <c r="G978" s="2" t="s">
        <v>1669</v>
      </c>
      <c r="H978" s="2" t="s">
        <v>1668</v>
      </c>
      <c r="I978" s="1" t="s">
        <v>1038</v>
      </c>
      <c r="J978" s="1" t="s">
        <v>14</v>
      </c>
      <c r="L978" s="34"/>
      <c r="M978" s="35"/>
      <c r="N978" s="35"/>
      <c r="O978" s="35"/>
      <c r="P978" s="35"/>
      <c r="Q978" s="35"/>
      <c r="R978" s="14"/>
      <c r="S978" s="14"/>
      <c r="T978" s="35"/>
      <c r="U978" s="35"/>
      <c r="V978" s="60" t="s">
        <v>1693</v>
      </c>
    </row>
    <row r="979" spans="1:22" ht="25.5" x14ac:dyDescent="0.2">
      <c r="A979" s="1" t="s">
        <v>116</v>
      </c>
      <c r="B979" s="2" t="s">
        <v>38</v>
      </c>
      <c r="C979" s="2" t="s">
        <v>117</v>
      </c>
      <c r="D979" s="2" t="s">
        <v>118</v>
      </c>
      <c r="E979" s="2">
        <v>2020</v>
      </c>
      <c r="F979" s="2" t="s">
        <v>13</v>
      </c>
      <c r="G979" s="2" t="s">
        <v>1667</v>
      </c>
      <c r="H979" s="2" t="s">
        <v>1669</v>
      </c>
      <c r="I979" s="1" t="s">
        <v>14</v>
      </c>
      <c r="J979" s="1" t="s">
        <v>487</v>
      </c>
      <c r="L979" s="34">
        <v>0.15870000000000001</v>
      </c>
      <c r="M979" s="35">
        <v>1093.69</v>
      </c>
      <c r="N979" s="35"/>
      <c r="O979" s="35"/>
      <c r="P979" s="35"/>
      <c r="Q979" s="35"/>
      <c r="R979" s="35"/>
      <c r="S979" s="35"/>
      <c r="T979" s="35"/>
      <c r="U979" s="35"/>
    </row>
    <row r="980" spans="1:22" ht="25.5" x14ac:dyDescent="0.2">
      <c r="A980" s="1" t="s">
        <v>116</v>
      </c>
      <c r="B980" s="2" t="s">
        <v>38</v>
      </c>
      <c r="C980" s="2" t="s">
        <v>117</v>
      </c>
      <c r="D980" s="2" t="s">
        <v>118</v>
      </c>
      <c r="E980" s="2">
        <v>2020</v>
      </c>
      <c r="F980" s="2" t="s">
        <v>188</v>
      </c>
      <c r="G980" s="2" t="s">
        <v>1667</v>
      </c>
      <c r="H980" s="2" t="s">
        <v>1669</v>
      </c>
      <c r="I980" s="1" t="s">
        <v>14</v>
      </c>
      <c r="J980" s="1" t="s">
        <v>573</v>
      </c>
      <c r="L980" s="34">
        <v>0.159</v>
      </c>
      <c r="M980" s="35">
        <v>1092.71</v>
      </c>
      <c r="N980" s="35"/>
      <c r="O980" s="35"/>
      <c r="P980" s="35"/>
      <c r="Q980" s="35"/>
      <c r="R980" s="14"/>
      <c r="S980" s="35"/>
      <c r="T980" s="35"/>
      <c r="U980" s="35"/>
    </row>
    <row r="981" spans="1:22" ht="25.5" x14ac:dyDescent="0.2">
      <c r="A981" s="1" t="s">
        <v>116</v>
      </c>
      <c r="B981" s="2" t="s">
        <v>38</v>
      </c>
      <c r="C981" s="2" t="s">
        <v>117</v>
      </c>
      <c r="D981" s="2" t="s">
        <v>118</v>
      </c>
      <c r="E981" s="2">
        <v>2020</v>
      </c>
      <c r="F981" s="2" t="s">
        <v>203</v>
      </c>
      <c r="G981" s="2" t="s">
        <v>1667</v>
      </c>
      <c r="H981" s="2" t="s">
        <v>1669</v>
      </c>
      <c r="I981" s="1" t="s">
        <v>14</v>
      </c>
      <c r="J981" s="1" t="s">
        <v>659</v>
      </c>
      <c r="L981" s="34" t="s">
        <v>1670</v>
      </c>
      <c r="M981" s="35">
        <v>1023.06</v>
      </c>
      <c r="N981" s="35"/>
      <c r="O981" s="35"/>
      <c r="P981" s="35"/>
      <c r="Q981" s="35"/>
      <c r="R981" s="14"/>
      <c r="S981" s="35"/>
      <c r="T981" s="35"/>
      <c r="U981" s="35"/>
    </row>
    <row r="982" spans="1:22" ht="25.5" x14ac:dyDescent="0.2">
      <c r="A982" s="1" t="s">
        <v>116</v>
      </c>
      <c r="B982" s="2" t="s">
        <v>38</v>
      </c>
      <c r="C982" s="2" t="s">
        <v>117</v>
      </c>
      <c r="D982" s="2" t="s">
        <v>118</v>
      </c>
      <c r="E982" s="2">
        <v>2020</v>
      </c>
      <c r="F982" s="2" t="s">
        <v>211</v>
      </c>
      <c r="G982" s="2" t="s">
        <v>1667</v>
      </c>
      <c r="H982" s="2" t="s">
        <v>1669</v>
      </c>
      <c r="I982" s="1" t="s">
        <v>14</v>
      </c>
      <c r="J982" s="1" t="s">
        <v>709</v>
      </c>
      <c r="L982" s="34">
        <v>0.1583</v>
      </c>
      <c r="M982" s="35">
        <v>1072.21</v>
      </c>
      <c r="N982" s="35"/>
      <c r="O982" s="35"/>
      <c r="P982" s="35"/>
      <c r="Q982" s="35"/>
      <c r="R982" s="14"/>
      <c r="S982" s="35"/>
      <c r="T982" s="35"/>
      <c r="U982" s="35"/>
    </row>
    <row r="983" spans="1:22" ht="25.5" x14ac:dyDescent="0.2">
      <c r="A983" s="1" t="s">
        <v>116</v>
      </c>
      <c r="B983" s="2" t="s">
        <v>38</v>
      </c>
      <c r="C983" s="2" t="s">
        <v>117</v>
      </c>
      <c r="D983" s="2" t="s">
        <v>118</v>
      </c>
      <c r="E983" s="2">
        <v>2020</v>
      </c>
      <c r="F983" s="2" t="s">
        <v>221</v>
      </c>
      <c r="G983" s="2" t="s">
        <v>1667</v>
      </c>
      <c r="H983" s="2" t="s">
        <v>1669</v>
      </c>
      <c r="I983" s="1" t="s">
        <v>14</v>
      </c>
      <c r="J983" s="1" t="s">
        <v>792</v>
      </c>
      <c r="L983" s="34">
        <v>0.1618</v>
      </c>
      <c r="M983" s="35">
        <v>1110.73</v>
      </c>
      <c r="N983" s="35"/>
      <c r="O983" s="35"/>
      <c r="P983" s="35"/>
      <c r="Q983" s="35"/>
      <c r="R983" s="14"/>
      <c r="S983" s="35"/>
      <c r="T983" s="35"/>
      <c r="U983" s="35"/>
    </row>
    <row r="984" spans="1:22" ht="25.5" x14ac:dyDescent="0.2">
      <c r="A984" s="1" t="s">
        <v>116</v>
      </c>
      <c r="B984" s="2" t="s">
        <v>38</v>
      </c>
      <c r="C984" s="2" t="s">
        <v>117</v>
      </c>
      <c r="D984" s="2" t="s">
        <v>118</v>
      </c>
      <c r="E984" s="2">
        <v>2020</v>
      </c>
      <c r="F984" s="2" t="s">
        <v>256</v>
      </c>
      <c r="G984" s="2" t="s">
        <v>1667</v>
      </c>
      <c r="H984" s="2" t="s">
        <v>1669</v>
      </c>
      <c r="I984" s="1" t="s">
        <v>14</v>
      </c>
      <c r="J984" s="1" t="s">
        <v>926</v>
      </c>
      <c r="L984" s="34">
        <v>0.17319999999999999</v>
      </c>
      <c r="M984" s="35">
        <v>1199.54</v>
      </c>
      <c r="N984" s="35"/>
      <c r="O984" s="35"/>
      <c r="P984" s="35"/>
      <c r="Q984" s="35"/>
      <c r="R984" s="14"/>
      <c r="S984" s="14"/>
      <c r="T984" s="35"/>
      <c r="U984" s="35"/>
    </row>
    <row r="985" spans="1:22" ht="25.5" x14ac:dyDescent="0.2">
      <c r="A985" s="1" t="s">
        <v>116</v>
      </c>
      <c r="B985" s="2" t="s">
        <v>38</v>
      </c>
      <c r="C985" s="2" t="s">
        <v>117</v>
      </c>
      <c r="D985" s="2" t="s">
        <v>118</v>
      </c>
      <c r="E985" s="2">
        <v>2020</v>
      </c>
      <c r="F985" s="2" t="s">
        <v>276</v>
      </c>
      <c r="G985" s="2" t="s">
        <v>1667</v>
      </c>
      <c r="H985" s="2" t="s">
        <v>1669</v>
      </c>
      <c r="I985" s="1" t="s">
        <v>14</v>
      </c>
      <c r="J985" s="1" t="s">
        <v>1018</v>
      </c>
      <c r="L985" s="34">
        <v>0.18140000000000001</v>
      </c>
      <c r="M985" s="35">
        <v>946.52</v>
      </c>
      <c r="N985" s="35"/>
      <c r="O985" s="35"/>
      <c r="P985" s="35"/>
      <c r="Q985" s="35"/>
      <c r="R985" s="14"/>
      <c r="S985" s="14"/>
      <c r="T985" s="35"/>
      <c r="U985" s="35"/>
    </row>
    <row r="986" spans="1:22" ht="25.5" x14ac:dyDescent="0.2">
      <c r="A986" s="1" t="s">
        <v>116</v>
      </c>
      <c r="B986" s="2" t="s">
        <v>38</v>
      </c>
      <c r="C986" s="2" t="s">
        <v>117</v>
      </c>
      <c r="D986" s="2" t="s">
        <v>118</v>
      </c>
      <c r="E986" s="2">
        <v>2020</v>
      </c>
      <c r="F986" s="2" t="s">
        <v>291</v>
      </c>
      <c r="G986" s="2" t="s">
        <v>1667</v>
      </c>
      <c r="H986" s="2" t="s">
        <v>1669</v>
      </c>
      <c r="I986" s="1" t="s">
        <v>14</v>
      </c>
      <c r="J986" s="1" t="s">
        <v>1144</v>
      </c>
      <c r="L986" s="34">
        <v>0.16120000000000001</v>
      </c>
      <c r="M986" s="35">
        <v>554.12</v>
      </c>
      <c r="N986" s="35"/>
      <c r="O986" s="35"/>
      <c r="P986" s="35"/>
      <c r="Q986" s="35"/>
      <c r="R986" s="14"/>
      <c r="S986" s="14"/>
      <c r="T986" s="35"/>
      <c r="U986" s="35"/>
    </row>
    <row r="987" spans="1:22" ht="25.5" x14ac:dyDescent="0.2">
      <c r="A987" s="1" t="s">
        <v>116</v>
      </c>
      <c r="B987" s="2" t="s">
        <v>38</v>
      </c>
      <c r="C987" s="2" t="s">
        <v>117</v>
      </c>
      <c r="D987" s="2" t="s">
        <v>118</v>
      </c>
      <c r="E987" s="2">
        <v>2020</v>
      </c>
      <c r="F987" s="2" t="s">
        <v>311</v>
      </c>
      <c r="G987" s="2" t="s">
        <v>1667</v>
      </c>
      <c r="H987" s="2" t="s">
        <v>1669</v>
      </c>
      <c r="I987" s="1" t="s">
        <v>14</v>
      </c>
      <c r="J987" s="1" t="s">
        <v>1234</v>
      </c>
      <c r="L987" s="34">
        <v>0.16769999999999999</v>
      </c>
      <c r="M987" s="35">
        <v>1126.4000000000001</v>
      </c>
      <c r="N987" s="35"/>
      <c r="O987" s="35"/>
      <c r="P987" s="35"/>
      <c r="Q987" s="35"/>
      <c r="R987" s="14"/>
      <c r="S987" s="14"/>
      <c r="T987" s="35"/>
      <c r="U987" s="35"/>
    </row>
    <row r="988" spans="1:22" ht="25.5" x14ac:dyDescent="0.2">
      <c r="A988" s="1" t="s">
        <v>116</v>
      </c>
      <c r="B988" s="2" t="s">
        <v>38</v>
      </c>
      <c r="C988" s="2" t="s">
        <v>117</v>
      </c>
      <c r="D988" s="2" t="s">
        <v>118</v>
      </c>
      <c r="E988" s="2">
        <v>2020</v>
      </c>
      <c r="F988" s="2" t="s">
        <v>337</v>
      </c>
      <c r="G988" s="2" t="s">
        <v>1667</v>
      </c>
      <c r="H988" s="2" t="s">
        <v>1669</v>
      </c>
      <c r="I988" s="1" t="s">
        <v>14</v>
      </c>
      <c r="J988" s="1" t="s">
        <v>1349</v>
      </c>
      <c r="L988" s="34">
        <v>0.1678</v>
      </c>
      <c r="M988" s="35">
        <v>1143.78</v>
      </c>
      <c r="N988" s="35"/>
      <c r="O988" s="35"/>
      <c r="P988" s="35"/>
      <c r="Q988" s="35"/>
      <c r="R988" s="14"/>
      <c r="S988" s="14"/>
      <c r="T988" s="35"/>
      <c r="U988" s="35"/>
    </row>
    <row r="989" spans="1:22" ht="25.5" x14ac:dyDescent="0.2">
      <c r="A989" s="1" t="s">
        <v>116</v>
      </c>
      <c r="B989" s="2" t="s">
        <v>38</v>
      </c>
      <c r="C989" s="2" t="s">
        <v>117</v>
      </c>
      <c r="D989" s="2" t="s">
        <v>118</v>
      </c>
      <c r="E989" s="2">
        <v>2020</v>
      </c>
      <c r="F989" s="2" t="s">
        <v>364</v>
      </c>
      <c r="G989" s="2" t="s">
        <v>1667</v>
      </c>
      <c r="H989" s="2" t="s">
        <v>1669</v>
      </c>
      <c r="I989" s="1" t="s">
        <v>14</v>
      </c>
      <c r="J989" s="1" t="s">
        <v>1520</v>
      </c>
      <c r="L989" s="34">
        <v>0.1648</v>
      </c>
      <c r="M989" s="35">
        <v>995.72</v>
      </c>
      <c r="N989" s="35"/>
      <c r="O989" s="35"/>
      <c r="P989" s="35"/>
      <c r="Q989" s="35"/>
      <c r="R989" s="14"/>
      <c r="S989" s="14"/>
      <c r="T989" s="35"/>
      <c r="U989" s="35"/>
    </row>
    <row r="990" spans="1:22" ht="25.5" x14ac:dyDescent="0.2">
      <c r="A990" s="1" t="s">
        <v>116</v>
      </c>
      <c r="B990" s="2" t="s">
        <v>38</v>
      </c>
      <c r="C990" s="2" t="s">
        <v>117</v>
      </c>
      <c r="D990" s="2" t="s">
        <v>118</v>
      </c>
      <c r="E990" s="2">
        <v>2020</v>
      </c>
      <c r="F990" s="2" t="s">
        <v>388</v>
      </c>
      <c r="G990" s="2" t="s">
        <v>1667</v>
      </c>
      <c r="H990" s="2" t="s">
        <v>1669</v>
      </c>
      <c r="I990" s="1" t="s">
        <v>14</v>
      </c>
      <c r="J990" s="1" t="s">
        <v>1614</v>
      </c>
      <c r="L990" s="34">
        <v>0.16439999999999999</v>
      </c>
      <c r="M990" s="35">
        <v>664.79</v>
      </c>
      <c r="N990" s="35"/>
      <c r="O990" s="35"/>
      <c r="P990" s="35"/>
      <c r="Q990" s="35"/>
      <c r="R990" s="35"/>
      <c r="S990" s="35"/>
      <c r="T990" s="35"/>
      <c r="U990" s="35"/>
    </row>
    <row r="991" spans="1:22" ht="51" x14ac:dyDescent="0.2">
      <c r="A991" s="1" t="s">
        <v>235</v>
      </c>
      <c r="B991" s="2" t="s">
        <v>196</v>
      </c>
      <c r="C991" s="2" t="s">
        <v>236</v>
      </c>
      <c r="D991" s="2" t="s">
        <v>118</v>
      </c>
      <c r="E991" s="2">
        <v>2020</v>
      </c>
      <c r="F991" s="2" t="s">
        <v>276</v>
      </c>
      <c r="G991" s="2" t="s">
        <v>1669</v>
      </c>
      <c r="H991" s="2" t="s">
        <v>1669</v>
      </c>
      <c r="I991" s="1" t="s">
        <v>1047</v>
      </c>
      <c r="J991" s="1" t="s">
        <v>403</v>
      </c>
      <c r="L991" s="34"/>
      <c r="M991" s="35"/>
      <c r="N991" s="35"/>
      <c r="O991" s="35"/>
      <c r="P991" s="35"/>
      <c r="Q991" s="35"/>
      <c r="R991" s="14"/>
      <c r="S991" s="14"/>
      <c r="T991" s="35"/>
      <c r="U991" s="35"/>
      <c r="V991" s="60" t="s">
        <v>1695</v>
      </c>
    </row>
    <row r="992" spans="1:22" ht="63.75" x14ac:dyDescent="0.2">
      <c r="A992" s="1" t="s">
        <v>235</v>
      </c>
      <c r="B992" s="2" t="s">
        <v>196</v>
      </c>
      <c r="C992" s="2" t="s">
        <v>236</v>
      </c>
      <c r="D992" s="2" t="s">
        <v>118</v>
      </c>
      <c r="E992" s="2">
        <v>2020</v>
      </c>
      <c r="F992" s="2" t="s">
        <v>291</v>
      </c>
      <c r="G992" s="2" t="s">
        <v>1669</v>
      </c>
      <c r="H992" s="2" t="s">
        <v>1669</v>
      </c>
      <c r="I992" s="1" t="s">
        <v>1134</v>
      </c>
      <c r="J992" s="1" t="s">
        <v>403</v>
      </c>
      <c r="L992" s="34"/>
      <c r="M992" s="35"/>
      <c r="N992" s="35"/>
      <c r="O992" s="35"/>
      <c r="P992" s="35"/>
      <c r="Q992" s="35"/>
      <c r="R992" s="14"/>
      <c r="S992" s="14"/>
      <c r="T992" s="35"/>
      <c r="U992" s="35"/>
      <c r="V992" s="60" t="s">
        <v>1695</v>
      </c>
    </row>
    <row r="993" spans="1:22" ht="38.25" x14ac:dyDescent="0.2">
      <c r="A993" s="1" t="s">
        <v>235</v>
      </c>
      <c r="B993" s="2" t="s">
        <v>196</v>
      </c>
      <c r="C993" s="2" t="s">
        <v>236</v>
      </c>
      <c r="D993" s="2" t="s">
        <v>118</v>
      </c>
      <c r="E993" s="2">
        <v>2020</v>
      </c>
      <c r="F993" s="2" t="s">
        <v>311</v>
      </c>
      <c r="G993" s="2" t="s">
        <v>1669</v>
      </c>
      <c r="H993" s="2" t="s">
        <v>1669</v>
      </c>
      <c r="I993" s="1" t="s">
        <v>1253</v>
      </c>
      <c r="J993" s="1" t="s">
        <v>403</v>
      </c>
      <c r="L993" s="34"/>
      <c r="M993" s="35"/>
      <c r="N993" s="35"/>
      <c r="O993" s="35"/>
      <c r="P993" s="35"/>
      <c r="Q993" s="35"/>
      <c r="R993" s="14"/>
      <c r="S993" s="14"/>
      <c r="T993" s="35"/>
      <c r="U993" s="35"/>
      <c r="V993" s="60" t="s">
        <v>1695</v>
      </c>
    </row>
    <row r="994" spans="1:22" ht="89.25" x14ac:dyDescent="0.2">
      <c r="A994" s="1" t="s">
        <v>287</v>
      </c>
      <c r="B994" s="2" t="s">
        <v>196</v>
      </c>
      <c r="C994" s="2" t="s">
        <v>288</v>
      </c>
      <c r="D994" s="2" t="s">
        <v>33</v>
      </c>
      <c r="E994" s="2">
        <v>2020</v>
      </c>
      <c r="F994" s="2" t="s">
        <v>337</v>
      </c>
      <c r="G994" s="2" t="s">
        <v>1669</v>
      </c>
      <c r="H994" s="2" t="s">
        <v>1668</v>
      </c>
      <c r="I994" s="1" t="s">
        <v>1397</v>
      </c>
      <c r="J994" s="1" t="s">
        <v>14</v>
      </c>
      <c r="L994" s="34"/>
      <c r="M994" s="35"/>
      <c r="N994" s="35"/>
      <c r="O994" s="35"/>
      <c r="P994" s="35"/>
      <c r="Q994" s="35"/>
      <c r="R994" s="14"/>
      <c r="S994" s="14"/>
      <c r="T994" s="35"/>
      <c r="U994" s="35"/>
      <c r="V994" s="60" t="s">
        <v>1693</v>
      </c>
    </row>
    <row r="995" spans="1:22" ht="51" x14ac:dyDescent="0.2">
      <c r="A995" s="1" t="s">
        <v>306</v>
      </c>
      <c r="B995" s="2" t="s">
        <v>196</v>
      </c>
      <c r="C995" s="2" t="s">
        <v>307</v>
      </c>
      <c r="D995" s="2" t="s">
        <v>230</v>
      </c>
      <c r="E995" s="2">
        <v>2020</v>
      </c>
      <c r="F995" s="2" t="s">
        <v>291</v>
      </c>
      <c r="G995" s="2" t="s">
        <v>1669</v>
      </c>
      <c r="H995" s="2" t="s">
        <v>1669</v>
      </c>
      <c r="I995" s="1" t="s">
        <v>1155</v>
      </c>
      <c r="J995" s="1" t="s">
        <v>1156</v>
      </c>
      <c r="L995" s="34"/>
      <c r="M995" s="35"/>
      <c r="N995" s="35"/>
      <c r="O995" s="35"/>
      <c r="P995" s="35"/>
      <c r="Q995" s="35"/>
      <c r="R995" s="14"/>
      <c r="S995" s="14"/>
      <c r="T995" s="35"/>
      <c r="U995" s="35"/>
      <c r="V995" s="60" t="s">
        <v>1703</v>
      </c>
    </row>
    <row r="996" spans="1:22" ht="38.25" x14ac:dyDescent="0.2">
      <c r="A996" s="1" t="s">
        <v>244</v>
      </c>
      <c r="B996" s="2" t="s">
        <v>196</v>
      </c>
      <c r="C996" s="2" t="s">
        <v>245</v>
      </c>
      <c r="D996" s="2" t="s">
        <v>246</v>
      </c>
      <c r="E996" s="2">
        <v>2020</v>
      </c>
      <c r="F996" s="2" t="s">
        <v>276</v>
      </c>
      <c r="G996" s="2" t="s">
        <v>1669</v>
      </c>
      <c r="H996" s="2" t="s">
        <v>1668</v>
      </c>
      <c r="I996" s="1" t="s">
        <v>1008</v>
      </c>
      <c r="J996" s="1" t="s">
        <v>14</v>
      </c>
      <c r="L996" s="34"/>
      <c r="M996" s="35"/>
      <c r="N996" s="35"/>
      <c r="O996" s="35"/>
      <c r="P996" s="35"/>
      <c r="Q996" s="35"/>
      <c r="R996" s="14"/>
      <c r="S996" s="14"/>
      <c r="T996" s="35"/>
      <c r="U996" s="35"/>
      <c r="V996" s="60" t="s">
        <v>1703</v>
      </c>
    </row>
    <row r="997" spans="1:22" ht="38.25" x14ac:dyDescent="0.2">
      <c r="A997" s="1" t="s">
        <v>244</v>
      </c>
      <c r="B997" s="2" t="s">
        <v>196</v>
      </c>
      <c r="C997" s="2" t="s">
        <v>245</v>
      </c>
      <c r="D997" s="2" t="s">
        <v>246</v>
      </c>
      <c r="E997" s="2">
        <v>2020</v>
      </c>
      <c r="F997" s="2" t="s">
        <v>291</v>
      </c>
      <c r="G997" s="2" t="s">
        <v>1669</v>
      </c>
      <c r="H997" s="2" t="s">
        <v>1668</v>
      </c>
      <c r="I997" s="1" t="s">
        <v>1120</v>
      </c>
      <c r="J997" s="1" t="s">
        <v>14</v>
      </c>
      <c r="L997" s="34"/>
      <c r="M997" s="35"/>
      <c r="N997" s="35"/>
      <c r="O997" s="35"/>
      <c r="P997" s="35"/>
      <c r="Q997" s="35"/>
      <c r="R997" s="14"/>
      <c r="S997" s="14"/>
      <c r="T997" s="35"/>
      <c r="U997" s="35"/>
      <c r="V997" s="60" t="s">
        <v>1703</v>
      </c>
    </row>
    <row r="998" spans="1:22" ht="38.25" x14ac:dyDescent="0.2">
      <c r="A998" s="1" t="s">
        <v>244</v>
      </c>
      <c r="B998" s="2" t="s">
        <v>196</v>
      </c>
      <c r="C998" s="2" t="s">
        <v>245</v>
      </c>
      <c r="D998" s="2" t="s">
        <v>246</v>
      </c>
      <c r="E998" s="2">
        <v>2020</v>
      </c>
      <c r="F998" s="2" t="s">
        <v>337</v>
      </c>
      <c r="G998" s="2" t="s">
        <v>1669</v>
      </c>
      <c r="H998" s="2" t="s">
        <v>1668</v>
      </c>
      <c r="I998" s="1" t="s">
        <v>1354</v>
      </c>
      <c r="J998" s="1" t="s">
        <v>14</v>
      </c>
      <c r="L998" s="34"/>
      <c r="M998" s="35"/>
      <c r="N998" s="35"/>
      <c r="O998" s="35"/>
      <c r="P998" s="35"/>
      <c r="Q998" s="35"/>
      <c r="R998" s="14"/>
      <c r="S998" s="14"/>
      <c r="T998" s="35"/>
      <c r="U998" s="35"/>
      <c r="V998" s="60" t="s">
        <v>1703</v>
      </c>
    </row>
    <row r="999" spans="1:22" ht="51" x14ac:dyDescent="0.2">
      <c r="A999" s="1" t="s">
        <v>481</v>
      </c>
      <c r="B999" s="2" t="s">
        <v>308</v>
      </c>
      <c r="C999" s="2" t="s">
        <v>482</v>
      </c>
      <c r="D999" s="2" t="s">
        <v>118</v>
      </c>
      <c r="E999" s="2">
        <v>2020</v>
      </c>
      <c r="F999" s="2" t="s">
        <v>221</v>
      </c>
      <c r="G999" s="2" t="s">
        <v>1669</v>
      </c>
      <c r="H999" s="2" t="s">
        <v>1669</v>
      </c>
      <c r="I999" s="1" t="s">
        <v>789</v>
      </c>
      <c r="J999" s="1" t="s">
        <v>790</v>
      </c>
      <c r="L999" s="34" t="s">
        <v>1670</v>
      </c>
      <c r="M999" s="35"/>
      <c r="N999" s="35"/>
      <c r="O999" s="35"/>
      <c r="P999" s="35"/>
      <c r="Q999" s="35"/>
      <c r="R999" s="14"/>
      <c r="S999" s="35"/>
      <c r="T999" s="35"/>
      <c r="U999" s="35">
        <v>54</v>
      </c>
      <c r="V999" s="60" t="s">
        <v>1682</v>
      </c>
    </row>
    <row r="1000" spans="1:22" ht="38.25" x14ac:dyDescent="0.2">
      <c r="A1000" s="1" t="s">
        <v>982</v>
      </c>
      <c r="B1000" s="2" t="s">
        <v>196</v>
      </c>
      <c r="C1000" s="2" t="s">
        <v>983</v>
      </c>
      <c r="D1000" s="2" t="s">
        <v>118</v>
      </c>
      <c r="E1000" s="2">
        <v>2020</v>
      </c>
      <c r="F1000" s="2" t="s">
        <v>276</v>
      </c>
      <c r="G1000" s="2" t="s">
        <v>1668</v>
      </c>
      <c r="H1000" s="2" t="s">
        <v>1669</v>
      </c>
      <c r="I1000" s="1" t="s">
        <v>14</v>
      </c>
      <c r="J1000" s="1" t="s">
        <v>984</v>
      </c>
      <c r="L1000" s="34" t="s">
        <v>1670</v>
      </c>
      <c r="M1000" s="35"/>
      <c r="N1000" s="35">
        <v>187.9</v>
      </c>
      <c r="O1000" s="35"/>
      <c r="P1000" s="35"/>
      <c r="Q1000" s="35"/>
      <c r="R1000" s="14"/>
      <c r="S1000" s="14"/>
      <c r="T1000" s="35"/>
      <c r="U1000" s="35"/>
    </row>
    <row r="1001" spans="1:22" ht="63.75" x14ac:dyDescent="0.2">
      <c r="A1001" s="1" t="s">
        <v>248</v>
      </c>
      <c r="B1001" s="2" t="s">
        <v>32</v>
      </c>
      <c r="C1001" s="2" t="s">
        <v>249</v>
      </c>
      <c r="D1001" s="2" t="s">
        <v>77</v>
      </c>
      <c r="E1001" s="2">
        <v>2020</v>
      </c>
      <c r="F1001" s="2" t="s">
        <v>203</v>
      </c>
      <c r="G1001" s="2" t="s">
        <v>1667</v>
      </c>
      <c r="H1001" s="2" t="s">
        <v>1669</v>
      </c>
      <c r="I1001" s="1" t="s">
        <v>14</v>
      </c>
      <c r="J1001" s="1" t="s">
        <v>655</v>
      </c>
      <c r="L1001" s="34">
        <v>7.3999999999999996E-2</v>
      </c>
      <c r="M1001" s="35"/>
      <c r="N1001" s="35"/>
      <c r="O1001" s="35"/>
      <c r="P1001" s="35"/>
      <c r="Q1001" s="35">
        <v>19.39</v>
      </c>
      <c r="R1001" s="14"/>
      <c r="S1001" s="35"/>
      <c r="T1001" s="35"/>
      <c r="U1001" s="35"/>
      <c r="V1001" s="60" t="s">
        <v>1762</v>
      </c>
    </row>
    <row r="1002" spans="1:22" ht="51" x14ac:dyDescent="0.2">
      <c r="A1002" s="1" t="s">
        <v>248</v>
      </c>
      <c r="B1002" s="2" t="s">
        <v>32</v>
      </c>
      <c r="C1002" s="2" t="s">
        <v>249</v>
      </c>
      <c r="D1002" s="2" t="s">
        <v>77</v>
      </c>
      <c r="E1002" s="2">
        <v>2020</v>
      </c>
      <c r="F1002" s="2" t="s">
        <v>256</v>
      </c>
      <c r="G1002" s="2" t="s">
        <v>1667</v>
      </c>
      <c r="H1002" s="2" t="s">
        <v>1669</v>
      </c>
      <c r="I1002" s="1" t="s">
        <v>14</v>
      </c>
      <c r="J1002" s="1" t="s">
        <v>1723</v>
      </c>
      <c r="L1002" s="34">
        <v>2.5999999999999999E-2</v>
      </c>
      <c r="M1002" s="35"/>
      <c r="N1002" s="35"/>
      <c r="O1002" s="35"/>
      <c r="P1002" s="35"/>
      <c r="Q1002" s="35"/>
      <c r="R1002" s="14"/>
      <c r="S1002" s="14"/>
      <c r="T1002" s="35"/>
      <c r="U1002" s="35">
        <v>202.3</v>
      </c>
      <c r="V1002" s="62" t="s">
        <v>1699</v>
      </c>
    </row>
    <row r="1003" spans="1:22" ht="51" x14ac:dyDescent="0.2">
      <c r="A1003" s="1" t="s">
        <v>248</v>
      </c>
      <c r="B1003" s="2" t="s">
        <v>32</v>
      </c>
      <c r="C1003" s="2" t="s">
        <v>249</v>
      </c>
      <c r="D1003" s="2" t="s">
        <v>77</v>
      </c>
      <c r="E1003" s="2">
        <v>2020</v>
      </c>
      <c r="F1003" s="2" t="s">
        <v>337</v>
      </c>
      <c r="G1003" s="2" t="s">
        <v>1667</v>
      </c>
      <c r="H1003" s="2" t="s">
        <v>1669</v>
      </c>
      <c r="I1003" s="1" t="s">
        <v>14</v>
      </c>
      <c r="J1003" s="1" t="s">
        <v>1724</v>
      </c>
      <c r="L1003" s="34" t="s">
        <v>1670</v>
      </c>
      <c r="M1003" s="35"/>
      <c r="N1003" s="35"/>
      <c r="O1003" s="35"/>
      <c r="P1003" s="35"/>
      <c r="Q1003" s="35"/>
      <c r="R1003" s="14"/>
      <c r="S1003" s="14"/>
      <c r="T1003" s="35"/>
      <c r="U1003" s="35">
        <v>196.17</v>
      </c>
      <c r="V1003" s="62" t="s">
        <v>1699</v>
      </c>
    </row>
    <row r="1004" spans="1:22" ht="38.25" x14ac:dyDescent="0.2">
      <c r="A1004" s="1" t="s">
        <v>81</v>
      </c>
      <c r="B1004" s="2" t="s">
        <v>29</v>
      </c>
      <c r="C1004" s="2" t="s">
        <v>82</v>
      </c>
      <c r="D1004" s="2" t="s">
        <v>58</v>
      </c>
      <c r="E1004" s="2">
        <v>2020</v>
      </c>
      <c r="F1004" s="2" t="s">
        <v>13</v>
      </c>
      <c r="G1004" s="2" t="s">
        <v>1668</v>
      </c>
      <c r="H1004" s="2" t="s">
        <v>1669</v>
      </c>
      <c r="I1004" s="1" t="s">
        <v>14</v>
      </c>
      <c r="J1004" s="1" t="s">
        <v>537</v>
      </c>
      <c r="L1004" s="5">
        <v>0.14199999999999999</v>
      </c>
      <c r="M1004" s="35"/>
      <c r="N1004" s="35"/>
      <c r="O1004" s="35"/>
      <c r="P1004" s="35"/>
      <c r="Q1004" s="35">
        <v>4.91</v>
      </c>
      <c r="R1004" s="35">
        <v>13.85</v>
      </c>
      <c r="S1004" s="35"/>
      <c r="T1004" s="35"/>
      <c r="U1004" s="15"/>
    </row>
    <row r="1005" spans="1:22" ht="25.5" x14ac:dyDescent="0.2">
      <c r="A1005" s="1" t="s">
        <v>81</v>
      </c>
      <c r="B1005" s="2" t="s">
        <v>29</v>
      </c>
      <c r="C1005" s="2" t="s">
        <v>82</v>
      </c>
      <c r="D1005" s="2" t="s">
        <v>58</v>
      </c>
      <c r="E1005" s="2">
        <v>2020</v>
      </c>
      <c r="F1005" s="2" t="s">
        <v>188</v>
      </c>
      <c r="G1005" s="2" t="s">
        <v>1668</v>
      </c>
      <c r="H1005" s="2" t="s">
        <v>1669</v>
      </c>
      <c r="I1005" s="1" t="s">
        <v>14</v>
      </c>
      <c r="J1005" s="1" t="s">
        <v>559</v>
      </c>
      <c r="L1005" s="34">
        <v>0.14099999999999999</v>
      </c>
      <c r="M1005" s="35"/>
      <c r="N1005" s="35"/>
      <c r="O1005" s="35"/>
      <c r="P1005" s="35"/>
      <c r="Q1005" s="35"/>
      <c r="R1005" s="35">
        <v>11.94</v>
      </c>
      <c r="S1005" s="35"/>
      <c r="T1005" s="35"/>
    </row>
    <row r="1006" spans="1:22" ht="51" x14ac:dyDescent="0.2">
      <c r="A1006" s="1" t="s">
        <v>81</v>
      </c>
      <c r="B1006" s="2" t="s">
        <v>29</v>
      </c>
      <c r="C1006" s="2" t="s">
        <v>82</v>
      </c>
      <c r="D1006" s="2" t="s">
        <v>58</v>
      </c>
      <c r="E1006" s="2">
        <v>2020</v>
      </c>
      <c r="F1006" s="2" t="s">
        <v>203</v>
      </c>
      <c r="G1006" s="2" t="s">
        <v>1668</v>
      </c>
      <c r="H1006" s="2" t="s">
        <v>1669</v>
      </c>
      <c r="I1006" s="1" t="s">
        <v>14</v>
      </c>
      <c r="J1006" s="1" t="s">
        <v>632</v>
      </c>
      <c r="L1006" s="34">
        <v>0.13900000000000001</v>
      </c>
      <c r="M1006" s="35"/>
      <c r="N1006" s="35"/>
      <c r="O1006" s="35"/>
      <c r="P1006" s="35"/>
      <c r="Q1006" s="35"/>
      <c r="R1006" s="35">
        <v>14.18</v>
      </c>
      <c r="S1006" s="35"/>
      <c r="T1006" s="35"/>
    </row>
    <row r="1007" spans="1:22" ht="25.5" x14ac:dyDescent="0.2">
      <c r="A1007" s="1" t="s">
        <v>81</v>
      </c>
      <c r="B1007" s="2" t="s">
        <v>29</v>
      </c>
      <c r="C1007" s="2" t="s">
        <v>82</v>
      </c>
      <c r="D1007" s="2" t="s">
        <v>58</v>
      </c>
      <c r="E1007" s="2">
        <v>2020</v>
      </c>
      <c r="F1007" s="2" t="s">
        <v>211</v>
      </c>
      <c r="G1007" s="2" t="s">
        <v>1668</v>
      </c>
      <c r="H1007" s="2" t="s">
        <v>1669</v>
      </c>
      <c r="I1007" s="1" t="s">
        <v>14</v>
      </c>
      <c r="J1007" s="1" t="s">
        <v>743</v>
      </c>
      <c r="L1007" s="34">
        <v>0.14099999999999999</v>
      </c>
      <c r="M1007" s="35"/>
      <c r="N1007" s="35"/>
      <c r="O1007" s="35"/>
      <c r="P1007" s="35"/>
      <c r="Q1007" s="35"/>
      <c r="R1007" s="35">
        <v>10.63</v>
      </c>
      <c r="S1007" s="35"/>
      <c r="T1007" s="35"/>
    </row>
    <row r="1008" spans="1:22" ht="25.5" x14ac:dyDescent="0.2">
      <c r="A1008" s="1" t="s">
        <v>81</v>
      </c>
      <c r="B1008" s="2" t="s">
        <v>29</v>
      </c>
      <c r="C1008" s="2" t="s">
        <v>82</v>
      </c>
      <c r="D1008" s="2" t="s">
        <v>58</v>
      </c>
      <c r="E1008" s="2">
        <v>2020</v>
      </c>
      <c r="F1008" s="2" t="s">
        <v>221</v>
      </c>
      <c r="G1008" s="2" t="s">
        <v>1668</v>
      </c>
      <c r="H1008" s="2" t="s">
        <v>1669</v>
      </c>
      <c r="I1008" s="1" t="s">
        <v>14</v>
      </c>
      <c r="J1008" s="1" t="s">
        <v>788</v>
      </c>
      <c r="L1008" s="34">
        <v>0.14399999999999999</v>
      </c>
      <c r="M1008" s="35"/>
      <c r="N1008" s="35"/>
      <c r="O1008" s="35"/>
      <c r="P1008" s="35"/>
      <c r="Q1008" s="35"/>
      <c r="R1008" s="35">
        <v>20.010000000000002</v>
      </c>
      <c r="S1008" s="35"/>
      <c r="T1008" s="35"/>
    </row>
    <row r="1009" spans="1:22" ht="25.5" x14ac:dyDescent="0.2">
      <c r="A1009" s="1" t="s">
        <v>81</v>
      </c>
      <c r="B1009" s="2" t="s">
        <v>29</v>
      </c>
      <c r="C1009" s="2" t="s">
        <v>82</v>
      </c>
      <c r="D1009" s="2" t="s">
        <v>58</v>
      </c>
      <c r="E1009" s="2">
        <v>2020</v>
      </c>
      <c r="F1009" s="2" t="s">
        <v>256</v>
      </c>
      <c r="G1009" s="2" t="s">
        <v>1668</v>
      </c>
      <c r="H1009" s="2" t="s">
        <v>1669</v>
      </c>
      <c r="I1009" s="1" t="s">
        <v>14</v>
      </c>
      <c r="J1009" s="1" t="s">
        <v>953</v>
      </c>
      <c r="L1009" s="34">
        <v>0.14199999999999999</v>
      </c>
      <c r="M1009" s="35"/>
      <c r="N1009" s="35"/>
      <c r="O1009" s="35"/>
      <c r="P1009" s="35"/>
      <c r="Q1009" s="35"/>
      <c r="R1009" s="35">
        <v>12.26</v>
      </c>
      <c r="S1009" s="14"/>
      <c r="T1009" s="35"/>
    </row>
    <row r="1010" spans="1:22" ht="25.5" x14ac:dyDescent="0.2">
      <c r="A1010" s="1" t="s">
        <v>81</v>
      </c>
      <c r="B1010" s="2" t="s">
        <v>29</v>
      </c>
      <c r="C1010" s="2" t="s">
        <v>82</v>
      </c>
      <c r="D1010" s="2" t="s">
        <v>58</v>
      </c>
      <c r="E1010" s="2">
        <v>2020</v>
      </c>
      <c r="F1010" s="2" t="s">
        <v>276</v>
      </c>
      <c r="G1010" s="2" t="s">
        <v>1668</v>
      </c>
      <c r="H1010" s="2" t="s">
        <v>1669</v>
      </c>
      <c r="I1010" s="1" t="s">
        <v>14</v>
      </c>
      <c r="J1010" s="1" t="s">
        <v>970</v>
      </c>
      <c r="L1010" s="34">
        <v>0.14000000000000001</v>
      </c>
      <c r="M1010" s="35"/>
      <c r="N1010" s="35"/>
      <c r="O1010" s="35"/>
      <c r="P1010" s="35"/>
      <c r="Q1010" s="35"/>
      <c r="R1010" s="35">
        <v>7.75</v>
      </c>
      <c r="S1010" s="14"/>
      <c r="T1010" s="35"/>
    </row>
    <row r="1011" spans="1:22" ht="25.5" x14ac:dyDescent="0.2">
      <c r="A1011" s="1" t="s">
        <v>81</v>
      </c>
      <c r="B1011" s="2" t="s">
        <v>29</v>
      </c>
      <c r="C1011" s="2" t="s">
        <v>82</v>
      </c>
      <c r="D1011" s="2" t="s">
        <v>58</v>
      </c>
      <c r="E1011" s="2">
        <v>2020</v>
      </c>
      <c r="F1011" s="2" t="s">
        <v>291</v>
      </c>
      <c r="G1011" s="2" t="s">
        <v>1668</v>
      </c>
      <c r="H1011" s="2" t="s">
        <v>1669</v>
      </c>
      <c r="I1011" s="1" t="s">
        <v>14</v>
      </c>
      <c r="J1011" s="1" t="s">
        <v>1187</v>
      </c>
      <c r="L1011" s="34">
        <v>0.14199999999999999</v>
      </c>
      <c r="M1011" s="35"/>
      <c r="N1011" s="35"/>
      <c r="O1011" s="35"/>
      <c r="P1011" s="35"/>
      <c r="Q1011" s="35"/>
      <c r="R1011" s="35">
        <v>13.23</v>
      </c>
      <c r="S1011" s="14"/>
      <c r="T1011" s="35"/>
    </row>
    <row r="1012" spans="1:22" ht="25.5" x14ac:dyDescent="0.2">
      <c r="A1012" s="1" t="s">
        <v>81</v>
      </c>
      <c r="B1012" s="2" t="s">
        <v>29</v>
      </c>
      <c r="C1012" s="2" t="s">
        <v>82</v>
      </c>
      <c r="D1012" s="2" t="s">
        <v>58</v>
      </c>
      <c r="E1012" s="2">
        <v>2020</v>
      </c>
      <c r="F1012" s="2" t="s">
        <v>311</v>
      </c>
      <c r="G1012" s="2" t="s">
        <v>1668</v>
      </c>
      <c r="H1012" s="2" t="s">
        <v>1669</v>
      </c>
      <c r="I1012" s="1" t="s">
        <v>14</v>
      </c>
      <c r="J1012" s="1" t="s">
        <v>1330</v>
      </c>
      <c r="L1012" s="34">
        <v>0.14000000000000001</v>
      </c>
      <c r="M1012" s="35"/>
      <c r="N1012" s="35"/>
      <c r="O1012" s="35"/>
      <c r="P1012" s="35"/>
      <c r="Q1012" s="35"/>
      <c r="R1012" s="35">
        <v>6.95</v>
      </c>
      <c r="S1012" s="14"/>
      <c r="T1012" s="35"/>
    </row>
    <row r="1013" spans="1:22" ht="102" x14ac:dyDescent="0.2">
      <c r="A1013" s="1" t="s">
        <v>81</v>
      </c>
      <c r="B1013" s="2" t="s">
        <v>29</v>
      </c>
      <c r="C1013" s="2" t="s">
        <v>82</v>
      </c>
      <c r="D1013" s="2" t="s">
        <v>58</v>
      </c>
      <c r="E1013" s="2">
        <v>2020</v>
      </c>
      <c r="F1013" s="2" t="s">
        <v>337</v>
      </c>
      <c r="G1013" s="2" t="s">
        <v>1669</v>
      </c>
      <c r="H1013" s="2" t="s">
        <v>1669</v>
      </c>
      <c r="I1013" s="1" t="s">
        <v>1336</v>
      </c>
      <c r="J1013" s="1" t="s">
        <v>1337</v>
      </c>
      <c r="L1013" s="34">
        <v>0.153</v>
      </c>
      <c r="M1013" s="35"/>
      <c r="N1013" s="35"/>
      <c r="O1013" s="35"/>
      <c r="P1013" s="35"/>
      <c r="Q1013" s="35"/>
      <c r="R1013" s="35">
        <v>189.6</v>
      </c>
      <c r="S1013" s="14"/>
      <c r="T1013" s="35"/>
      <c r="V1013" s="60" t="s">
        <v>1737</v>
      </c>
    </row>
    <row r="1014" spans="1:22" ht="102" x14ac:dyDescent="0.2">
      <c r="A1014" s="1" t="s">
        <v>81</v>
      </c>
      <c r="B1014" s="2" t="s">
        <v>29</v>
      </c>
      <c r="C1014" s="2" t="s">
        <v>82</v>
      </c>
      <c r="D1014" s="2" t="s">
        <v>58</v>
      </c>
      <c r="E1014" s="2">
        <v>2020</v>
      </c>
      <c r="F1014" s="2" t="s">
        <v>364</v>
      </c>
      <c r="G1014" s="2" t="s">
        <v>1669</v>
      </c>
      <c r="H1014" s="2" t="s">
        <v>1669</v>
      </c>
      <c r="I1014" s="1" t="s">
        <v>1475</v>
      </c>
      <c r="J1014" s="1" t="s">
        <v>1476</v>
      </c>
      <c r="L1014" s="34">
        <v>0.1583</v>
      </c>
      <c r="M1014" s="35"/>
      <c r="N1014" s="35"/>
      <c r="O1014" s="35"/>
      <c r="P1014" s="35"/>
      <c r="Q1014" s="35"/>
      <c r="R1014" s="35">
        <v>144.80000000000001</v>
      </c>
      <c r="S1014" s="14"/>
      <c r="T1014" s="35"/>
      <c r="V1014" s="60" t="s">
        <v>1737</v>
      </c>
    </row>
    <row r="1015" spans="1:22" ht="102" x14ac:dyDescent="0.2">
      <c r="A1015" s="1" t="s">
        <v>81</v>
      </c>
      <c r="B1015" s="2" t="s">
        <v>29</v>
      </c>
      <c r="C1015" s="2" t="s">
        <v>82</v>
      </c>
      <c r="D1015" s="2" t="s">
        <v>58</v>
      </c>
      <c r="E1015" s="2">
        <v>2020</v>
      </c>
      <c r="F1015" s="2" t="s">
        <v>388</v>
      </c>
      <c r="G1015" s="2" t="s">
        <v>1669</v>
      </c>
      <c r="H1015" s="2" t="s">
        <v>1669</v>
      </c>
      <c r="I1015" s="1" t="s">
        <v>1594</v>
      </c>
      <c r="J1015" s="1" t="s">
        <v>1595</v>
      </c>
      <c r="L1015" s="34">
        <v>0.158</v>
      </c>
      <c r="M1015" s="35"/>
      <c r="N1015" s="35"/>
      <c r="O1015" s="35"/>
      <c r="P1015" s="35"/>
      <c r="Q1015" s="35"/>
      <c r="R1015" s="35">
        <v>151.5</v>
      </c>
      <c r="S1015" s="14"/>
      <c r="T1015" s="35"/>
      <c r="V1015" s="60" t="s">
        <v>1737</v>
      </c>
    </row>
    <row r="1016" spans="1:22" ht="127.5" x14ac:dyDescent="0.2">
      <c r="A1016" s="1" t="s">
        <v>1111</v>
      </c>
      <c r="B1016" s="2" t="s">
        <v>196</v>
      </c>
      <c r="C1016" s="2" t="s">
        <v>1112</v>
      </c>
      <c r="D1016" s="2" t="s">
        <v>450</v>
      </c>
      <c r="E1016" s="2">
        <v>2020</v>
      </c>
      <c r="F1016" s="2" t="s">
        <v>291</v>
      </c>
      <c r="G1016" s="2" t="s">
        <v>1669</v>
      </c>
      <c r="H1016" s="2" t="s">
        <v>1669</v>
      </c>
      <c r="I1016" s="1" t="s">
        <v>1113</v>
      </c>
      <c r="J1016" s="1" t="s">
        <v>1114</v>
      </c>
      <c r="L1016" s="5">
        <v>0.2394</v>
      </c>
      <c r="M1016" s="35"/>
      <c r="N1016" s="37">
        <f>1767/L1016</f>
        <v>7380.9523809523807</v>
      </c>
      <c r="O1016" s="35"/>
      <c r="P1016" s="35"/>
      <c r="Q1016" s="35"/>
      <c r="R1016" s="6"/>
      <c r="S1016" s="6"/>
      <c r="T1016" s="35"/>
      <c r="U1016" s="35"/>
    </row>
    <row r="1017" spans="1:22" ht="216.75" x14ac:dyDescent="0.2">
      <c r="A1017" s="1" t="s">
        <v>1111</v>
      </c>
      <c r="B1017" s="2" t="s">
        <v>196</v>
      </c>
      <c r="C1017" s="2" t="s">
        <v>1112</v>
      </c>
      <c r="D1017" s="2" t="s">
        <v>450</v>
      </c>
      <c r="E1017" s="2">
        <v>2020</v>
      </c>
      <c r="F1017" s="2" t="s">
        <v>311</v>
      </c>
      <c r="G1017" s="2" t="s">
        <v>1669</v>
      </c>
      <c r="H1017" s="2" t="s">
        <v>1669</v>
      </c>
      <c r="I1017" s="1" t="s">
        <v>1211</v>
      </c>
      <c r="J1017" s="1" t="s">
        <v>1212</v>
      </c>
      <c r="L1017" s="34"/>
      <c r="M1017" s="35"/>
      <c r="N1017" s="35"/>
      <c r="O1017" s="35"/>
      <c r="P1017" s="35"/>
      <c r="Q1017" s="35"/>
      <c r="R1017" s="14"/>
      <c r="S1017" s="14"/>
      <c r="T1017" s="35"/>
      <c r="U1017" s="35"/>
      <c r="V1017" s="60" t="s">
        <v>1725</v>
      </c>
    </row>
    <row r="1018" spans="1:22" ht="89.25" x14ac:dyDescent="0.2">
      <c r="A1018" s="1" t="s">
        <v>312</v>
      </c>
      <c r="B1018" s="2" t="s">
        <v>198</v>
      </c>
      <c r="C1018" s="2" t="s">
        <v>313</v>
      </c>
      <c r="D1018" s="2" t="s">
        <v>314</v>
      </c>
      <c r="E1018" s="2">
        <v>2020</v>
      </c>
      <c r="F1018" s="2" t="s">
        <v>337</v>
      </c>
      <c r="G1018" s="2" t="s">
        <v>1669</v>
      </c>
      <c r="H1018" s="2" t="s">
        <v>1669</v>
      </c>
      <c r="I1018" s="1" t="s">
        <v>1429</v>
      </c>
      <c r="J1018" s="1" t="s">
        <v>1430</v>
      </c>
      <c r="L1018" s="34">
        <v>0.01</v>
      </c>
      <c r="M1018" s="35"/>
      <c r="N1018" s="35">
        <v>31.39</v>
      </c>
      <c r="O1018" s="35"/>
      <c r="P1018" s="35"/>
      <c r="Q1018" s="35"/>
      <c r="R1018" s="14"/>
      <c r="S1018" s="14"/>
      <c r="T1018" s="35"/>
      <c r="U1018" s="35"/>
      <c r="V1018" s="60" t="s">
        <v>1699</v>
      </c>
    </row>
    <row r="1019" spans="1:22" ht="25.5" x14ac:dyDescent="0.2">
      <c r="A1019" s="1" t="s">
        <v>224</v>
      </c>
      <c r="B1019" s="2" t="s">
        <v>196</v>
      </c>
      <c r="C1019" s="2" t="s">
        <v>225</v>
      </c>
      <c r="D1019" s="2" t="s">
        <v>226</v>
      </c>
      <c r="E1019" s="2">
        <v>2020</v>
      </c>
      <c r="F1019" s="2" t="s">
        <v>388</v>
      </c>
      <c r="G1019" s="2" t="s">
        <v>1669</v>
      </c>
      <c r="H1019" s="2" t="s">
        <v>1668</v>
      </c>
      <c r="I1019" s="1" t="s">
        <v>1604</v>
      </c>
      <c r="J1019" s="1" t="s">
        <v>14</v>
      </c>
      <c r="L1019" s="34"/>
      <c r="M1019" s="35"/>
      <c r="N1019" s="35"/>
      <c r="O1019" s="35"/>
      <c r="P1019" s="35"/>
      <c r="Q1019" s="35"/>
      <c r="R1019" s="35"/>
      <c r="S1019" s="35"/>
      <c r="T1019" s="35"/>
      <c r="U1019" s="35"/>
      <c r="V1019" s="61" t="s">
        <v>1714</v>
      </c>
    </row>
    <row r="1020" spans="1:22" ht="25.5" x14ac:dyDescent="0.2">
      <c r="A1020" s="1" t="s">
        <v>395</v>
      </c>
      <c r="B1020" s="2" t="s">
        <v>232</v>
      </c>
      <c r="C1020" s="2" t="s">
        <v>396</v>
      </c>
      <c r="D1020" s="2" t="s">
        <v>115</v>
      </c>
      <c r="E1020" s="2">
        <v>2020</v>
      </c>
      <c r="F1020" s="2" t="s">
        <v>388</v>
      </c>
      <c r="G1020" s="2" t="s">
        <v>1669</v>
      </c>
      <c r="H1020" s="2" t="s">
        <v>1669</v>
      </c>
      <c r="I1020" s="1" t="s">
        <v>1652</v>
      </c>
      <c r="J1020" s="1" t="s">
        <v>1653</v>
      </c>
      <c r="L1020" s="34" t="s">
        <v>1670</v>
      </c>
      <c r="M1020" s="35"/>
      <c r="N1020" s="35"/>
      <c r="O1020" s="35"/>
      <c r="P1020" s="35"/>
      <c r="Q1020" s="35"/>
      <c r="R1020" s="35"/>
      <c r="S1020" s="35"/>
      <c r="T1020" s="35"/>
      <c r="U1020" s="35"/>
      <c r="V1020" s="60" t="s">
        <v>1683</v>
      </c>
    </row>
    <row r="1021" spans="1:22" x14ac:dyDescent="0.2">
      <c r="J1021" s="9"/>
      <c r="K1021" s="18"/>
      <c r="L1021" s="72"/>
      <c r="M1021" s="73">
        <f>SUBTOTAL(109,Tableau1[Quantité (tonnes)
Compostage])</f>
        <v>26824.664000000004</v>
      </c>
      <c r="N1021" s="73">
        <f>SUBTOTAL(109,Tableau1[Quantité (tonnes)
Épandage agricole])</f>
        <v>336428.85461562278</v>
      </c>
      <c r="O1021" s="73">
        <f>SUBTOTAL(109,Tableau1[Quantité (tonnes)
Restauration site])</f>
        <v>13004.930000000002</v>
      </c>
      <c r="P1021" s="73">
        <f>SUBTOTAL(109,Tableau1[Quantité (tonnes)
Sylviculture])</f>
        <v>0</v>
      </c>
      <c r="Q1021" s="73">
        <f>SUBTOTAL(109,Tableau1[Quantité (tonnes)
Mode recyclage non précisé])</f>
        <v>8206.0299999999988</v>
      </c>
      <c r="R1021" s="73">
        <f>SUBTOTAL(109,Tableau1[Quantité (tonnes)
Enfouissement])</f>
        <v>37193.837078680452</v>
      </c>
      <c r="S1021" s="73">
        <f>SUBTOTAL(109,Tableau1[Quantité (tonnes)
Incinération])</f>
        <v>366829.66500000004</v>
      </c>
      <c r="T1021" s="73">
        <f>SUBTOTAL(109,Tableau1[Quantité (tonnes)
Élimination])</f>
        <v>0</v>
      </c>
      <c r="U1021" s="73">
        <f>SUBTOTAL(109,Tableau1[Quantité (tonnes)
Mode de disposition non précisé])</f>
        <v>16482.659468000002</v>
      </c>
      <c r="V1021" s="63">
        <f>SUM(M1021:U1021)</f>
        <v>804970.64016230335</v>
      </c>
    </row>
    <row r="1023" spans="1:22" x14ac:dyDescent="0.2">
      <c r="H1023" s="8"/>
      <c r="L1023" s="39"/>
    </row>
    <row r="1024" spans="1:22" x14ac:dyDescent="0.2">
      <c r="H1024" s="8"/>
      <c r="L1024" s="39"/>
    </row>
    <row r="1025" spans="8:15" x14ac:dyDescent="0.2">
      <c r="I1025" s="13"/>
      <c r="J1025" s="3"/>
      <c r="K1025" s="19"/>
      <c r="L1025" s="39"/>
    </row>
    <row r="1026" spans="8:15" x14ac:dyDescent="0.2">
      <c r="I1026" s="11"/>
      <c r="J1026" s="8"/>
      <c r="K1026" s="20"/>
      <c r="L1026" s="50"/>
      <c r="M1026" s="50"/>
      <c r="N1026" s="50"/>
      <c r="O1026" s="50"/>
    </row>
    <row r="1027" spans="8:15" x14ac:dyDescent="0.2">
      <c r="H1027" s="10"/>
      <c r="I1027" s="11"/>
      <c r="J1027" s="8"/>
      <c r="K1027" s="20"/>
      <c r="L1027" s="50"/>
      <c r="N1027" s="51"/>
    </row>
    <row r="1028" spans="8:15" x14ac:dyDescent="0.2">
      <c r="H1028" s="7"/>
      <c r="M1028" s="50"/>
    </row>
    <row r="1029" spans="8:15" x14ac:dyDescent="0.2">
      <c r="H1029" s="7"/>
      <c r="M1029" s="50"/>
    </row>
    <row r="1030" spans="8:15" x14ac:dyDescent="0.2">
      <c r="O1030" s="50"/>
    </row>
  </sheetData>
  <phoneticPr fontId="3" type="noConversion"/>
  <pageMargins left="0.78740157499999996" right="0.78740157499999996" top="0.984251969" bottom="0.984251969" header="0.4921259845" footer="0.4921259845"/>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9d57b63-7a4c-4c1d-a0ac-1bbce5169ce0">
      <Terms xmlns="http://schemas.microsoft.com/office/infopath/2007/PartnerControls"/>
    </lcf76f155ced4ddcb4097134ff3c332f>
    <TaxCatchAll xmlns="2c365225-a1d7-48c0-9aef-990f2cebee78" xsi:nil="true"/>
    <_x00e0_classer xmlns="89d57b63-7a4c-4c1d-a0ac-1bbce5169ce0" xsi:nil="true"/>
    <TaxKeywordTaxHTField xmlns="2c365225-a1d7-48c0-9aef-990f2cebee78">
      <Terms xmlns="http://schemas.microsoft.com/office/infopath/2007/PartnerControls"/>
    </TaxKeywordTaxHTField>
    <CitoyenOptimum xmlns="89d57b63-7a4c-4c1d-a0ac-1bbce5169ce0">
      <UserInfo>
        <DisplayName/>
        <AccountId xsi:nil="true"/>
        <AccountType/>
      </UserInfo>
    </CitoyenOptimum>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FED1F3A6CF0943AE3EA3570FB32204" ma:contentTypeVersion="23" ma:contentTypeDescription="Crée un document." ma:contentTypeScope="" ma:versionID="946a25041bcb82d5364dd7baaca92e08">
  <xsd:schema xmlns:xsd="http://www.w3.org/2001/XMLSchema" xmlns:xs="http://www.w3.org/2001/XMLSchema" xmlns:p="http://schemas.microsoft.com/office/2006/metadata/properties" xmlns:ns2="89d57b63-7a4c-4c1d-a0ac-1bbce5169ce0" xmlns:ns3="2c365225-a1d7-48c0-9aef-990f2cebee78" targetNamespace="http://schemas.microsoft.com/office/2006/metadata/properties" ma:root="true" ma:fieldsID="0aa6c4bdb8255f73542e5c3a41c620a3" ns2:_="" ns3:_="">
    <xsd:import namespace="89d57b63-7a4c-4c1d-a0ac-1bbce5169ce0"/>
    <xsd:import namespace="2c365225-a1d7-48c0-9aef-990f2cebee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CitoyenOptimum" minOccurs="0"/>
                <xsd:element ref="ns2:lcf76f155ced4ddcb4097134ff3c332f" minOccurs="0"/>
                <xsd:element ref="ns3:TaxCatchAll" minOccurs="0"/>
                <xsd:element ref="ns3:TaxKeywordTaxHTField" minOccurs="0"/>
                <xsd:element ref="ns2:_x00e0_class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57b63-7a4c-4c1d-a0ac-1bbce5169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CitoyenOptimum" ma:index="21" nillable="true" ma:displayName="Citoyen Optimum" ma:description="1e document de proposition stratégie RP" ma:format="Dropdown" ma:list="UserInfo" ma:SharePointGroup="0" ma:internalName="CitoyenOptimu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3d37a64-7a81-453b-8f05-aac9d02acde1" ma:termSetId="09814cd3-568e-fe90-9814-8d621ff8fb84" ma:anchorId="fba54fb3-c3e1-fe81-a776-ca4b69148c4d" ma:open="true" ma:isKeyword="false">
      <xsd:complexType>
        <xsd:sequence>
          <xsd:element ref="pc:Terms" minOccurs="0" maxOccurs="1"/>
        </xsd:sequence>
      </xsd:complexType>
    </xsd:element>
    <xsd:element name="_x00e0_classer" ma:index="28" nillable="true" ma:displayName="à classer" ma:format="Dropdown" ma:internalName="_x00e0_classer">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365225-a1d7-48c0-9aef-990f2cebee78"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d8c25b8e-dcd9-4a08-96e2-38fbd10b34cd}" ma:internalName="TaxCatchAll" ma:showField="CatchAllData" ma:web="2c365225-a1d7-48c0-9aef-990f2cebee78">
      <xsd:complexType>
        <xsd:complexContent>
          <xsd:extension base="dms:MultiChoiceLookup">
            <xsd:sequence>
              <xsd:element name="Value" type="dms:Lookup" maxOccurs="unbounded" minOccurs="0" nillable="true"/>
            </xsd:sequence>
          </xsd:extension>
        </xsd:complexContent>
      </xsd:complexType>
    </xsd:element>
    <xsd:element name="TaxKeywordTaxHTField" ma:index="26" nillable="true" ma:taxonomy="true" ma:internalName="TaxKeywordTaxHTField" ma:taxonomyFieldName="TaxKeyword" ma:displayName="Mots clés d’entreprise" ma:fieldId="{23f27201-bee3-471e-b2e7-b64fd8b7ca38}" ma:taxonomyMulti="true" ma:sspId="f3d37a64-7a81-453b-8f05-aac9d02acde1"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ma:index="27"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4E58E2D-FD56-4646-9A59-C434C1C2ACB2}">
  <ds:schemaRefs>
    <ds:schemaRef ds:uri="http://schemas.microsoft.com/sharepoint/v3/contenttype/forms"/>
  </ds:schemaRefs>
</ds:datastoreItem>
</file>

<file path=customXml/itemProps2.xml><?xml version="1.0" encoding="utf-8"?>
<ds:datastoreItem xmlns:ds="http://schemas.openxmlformats.org/officeDocument/2006/customXml" ds:itemID="{B29140B0-BCE7-4163-8C64-8296C3E02154}">
  <ds:schemaRefs>
    <ds:schemaRef ds:uri="http://schemas.microsoft.com/office/2006/metadata/properties"/>
    <ds:schemaRef ds:uri="http://schemas.microsoft.com/office/infopath/2007/PartnerControls"/>
    <ds:schemaRef ds:uri="fff30089-13d9-4cd7-8d58-ab0de17440e6"/>
    <ds:schemaRef ds:uri="255ccc48-c725-4253-acb8-dda3420f718c"/>
  </ds:schemaRefs>
</ds:datastoreItem>
</file>

<file path=customXml/itemProps3.xml><?xml version="1.0" encoding="utf-8"?>
<ds:datastoreItem xmlns:ds="http://schemas.openxmlformats.org/officeDocument/2006/customXml" ds:itemID="{93097B4D-EC02-49E3-81E7-DE6510AAA9D3}"/>
</file>

<file path=customXml/itemProps4.xml><?xml version="1.0" encoding="utf-8"?>
<ds:datastoreItem xmlns:ds="http://schemas.openxmlformats.org/officeDocument/2006/customXml" ds:itemID="{F751B6E4-EC57-465B-8A87-6FA563419B3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Informations sur les données</vt:lpstr>
      <vt:lpstr>Boues municipales_2023</vt:lpstr>
      <vt:lpstr>Boues municipales_2022</vt:lpstr>
      <vt:lpstr>Boues municipales_2021</vt:lpstr>
      <vt:lpstr>Boues municipales_2020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Turcotte, Frédéric</dc:creator>
  <cp:lastModifiedBy>Emilie Girard</cp:lastModifiedBy>
  <dcterms:created xsi:type="dcterms:W3CDTF">2022-01-18T19:16:02Z</dcterms:created>
  <dcterms:modified xsi:type="dcterms:W3CDTF">2024-06-11T12:51:47Z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Genevieve Dussault</vt:lpwstr>
  </property>
  <property fmtid="{D5CDD505-2E9C-101B-9397-08002B2CF9AE}" pid="3" name="Order">
    <vt:lpwstr>471600.000000000</vt:lpwstr>
  </property>
  <property fmtid="{D5CDD505-2E9C-101B-9397-08002B2CF9AE}" pid="4" name="display_urn:schemas-microsoft-com:office:office#Author">
    <vt:lpwstr>Genevieve Dussault</vt:lpwstr>
  </property>
  <property fmtid="{D5CDD505-2E9C-101B-9397-08002B2CF9AE}" pid="5" name="ContentTypeId">
    <vt:lpwstr>0x01010018FED1F3A6CF0943AE3EA3570FB32204</vt:lpwstr>
  </property>
  <property fmtid="{D5CDD505-2E9C-101B-9397-08002B2CF9AE}" pid="6" name="MediaServiceImageTags">
    <vt:lpwstr/>
  </property>
  <property fmtid="{D5CDD505-2E9C-101B-9397-08002B2CF9AE}" pid="7" name="TaxKeyword">
    <vt:lpwstr/>
  </property>
</Properties>
</file>